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" sheetId="2" r:id="rId1"/>
    <sheet name="Other Deduction" sheetId="1" r:id="rId2"/>
    <sheet name="Tax Old Regime" sheetId="3" r:id="rId3"/>
    <sheet name="Tax New Regime" sheetId="5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Salary!$C$2:$AA$35</definedName>
    <definedName name="_xlnm.Print_Area" localSheetId="3">'Tax New Regime'!$A$1:$P$68</definedName>
    <definedName name="_xlnm.Print_Area" localSheetId="2">'Tax Old Regime'!$A$1:$P$65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Salary!$AB:$XFD</definedName>
    <definedName name="Z_01E6FF9C_BB30_4C32_9D09_6DB93F11503E_.wvu.Cols" localSheetId="3" hidden="1">'Tax New Regime'!$R:$XFD</definedName>
    <definedName name="Z_01E6FF9C_BB30_4C32_9D09_6DB93F11503E_.wvu.Cols" localSheetId="2" hidden="1">'Tax Old Regime'!$R:$XFD</definedName>
    <definedName name="Z_01E6FF9C_BB30_4C32_9D09_6DB93F11503E_.wvu.PrintArea" localSheetId="0" hidden="1">Salary!$C$2:$AA$33</definedName>
    <definedName name="Z_01E6FF9C_BB30_4C32_9D09_6DB93F11503E_.wvu.PrintArea" localSheetId="3" hidden="1">'Tax New Regime'!$A$1:$P$72</definedName>
    <definedName name="Z_01E6FF9C_BB30_4C32_9D09_6DB93F11503E_.wvu.PrintArea" localSheetId="2" hidden="1">'Tax Old Regime'!$A$1:$P$69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Salary!$946:$1048576,Salary!$34:$945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1" hidden="1">'Other Deduction'!$G:$XFD</definedName>
    <definedName name="Z_483AFC7C_A53B_4837_A853_31CBC6C9ED1B_.wvu.Cols" localSheetId="0" hidden="1">Salary!$AB:$XFD</definedName>
    <definedName name="Z_483AFC7C_A53B_4837_A853_31CBC6C9ED1B_.wvu.Cols" localSheetId="3" hidden="1">'Tax New Regime'!$R:$XFD</definedName>
    <definedName name="Z_483AFC7C_A53B_4837_A853_31CBC6C9ED1B_.wvu.Cols" localSheetId="2" hidden="1">'Tax Old Regime'!$R:$XFD</definedName>
    <definedName name="Z_483AFC7C_A53B_4837_A853_31CBC6C9ED1B_.wvu.PrintArea" localSheetId="0" hidden="1">Salary!$C$2:$AA$33</definedName>
    <definedName name="Z_483AFC7C_A53B_4837_A853_31CBC6C9ED1B_.wvu.PrintArea" localSheetId="3" hidden="1">'Tax New Regime'!$A$1:$P$72</definedName>
    <definedName name="Z_483AFC7C_A53B_4837_A853_31CBC6C9ED1B_.wvu.PrintArea" localSheetId="2" hidden="1">'Tax Old Regime'!$A$1:$P$69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Salary!$946:$1048576,Salary!$34:$945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P32" i="5"/>
  <c r="P32" i="3"/>
  <c r="P4" i="5"/>
  <c r="P4" i="3"/>
  <c r="P28" i="2"/>
  <c r="P9"/>
  <c r="P10"/>
  <c r="P11"/>
  <c r="P12"/>
  <c r="P13"/>
  <c r="P14"/>
  <c r="P15"/>
  <c r="P16"/>
  <c r="P17"/>
  <c r="P18"/>
  <c r="P19"/>
  <c r="P20"/>
  <c r="P8"/>
  <c r="O9"/>
  <c r="O10"/>
  <c r="O11"/>
  <c r="O12"/>
  <c r="O13"/>
  <c r="O14"/>
  <c r="O15"/>
  <c r="O16"/>
  <c r="O17"/>
  <c r="O18"/>
  <c r="O19"/>
  <c r="O20"/>
  <c r="O8"/>
  <c r="D8"/>
  <c r="A2" i="1" l="1"/>
  <c r="N65" i="5"/>
  <c r="P62"/>
  <c r="P43"/>
  <c r="P42"/>
  <c r="P41"/>
  <c r="P40"/>
  <c r="P39"/>
  <c r="P38"/>
  <c r="P37"/>
  <c r="P36"/>
  <c r="H29"/>
  <c r="N28"/>
  <c r="H28"/>
  <c r="N27"/>
  <c r="H27"/>
  <c r="N26"/>
  <c r="N25"/>
  <c r="H25"/>
  <c r="N24"/>
  <c r="H24"/>
  <c r="N23"/>
  <c r="H23"/>
  <c r="N22"/>
  <c r="H22"/>
  <c r="N21"/>
  <c r="P17"/>
  <c r="J14"/>
  <c r="G14"/>
  <c r="L12"/>
  <c r="D14" s="1"/>
  <c r="L8"/>
  <c r="L7"/>
  <c r="O3"/>
  <c r="K3"/>
  <c r="D3"/>
  <c r="A1"/>
  <c r="P42" i="3"/>
  <c r="O3"/>
  <c r="K3"/>
  <c r="D3"/>
  <c r="L14" i="5" l="1"/>
  <c r="P15" s="1"/>
  <c r="O7" i="2"/>
  <c r="H29" i="3" l="1"/>
  <c r="T9" i="2"/>
  <c r="T10" s="1"/>
  <c r="T11" s="1"/>
  <c r="T12" s="1"/>
  <c r="T13" s="1"/>
  <c r="T14" s="1"/>
  <c r="T15" s="1"/>
  <c r="T16" s="1"/>
  <c r="T17" s="1"/>
  <c r="T18" s="1"/>
  <c r="T19" s="1"/>
  <c r="D12" l="1"/>
  <c r="H12" s="1"/>
  <c r="H20"/>
  <c r="H8"/>
  <c r="D9"/>
  <c r="D10" l="1"/>
  <c r="H9"/>
  <c r="D13"/>
  <c r="H25" i="3"/>
  <c r="P33"/>
  <c r="D14" i="2" l="1"/>
  <c r="H13"/>
  <c r="D11"/>
  <c r="H10"/>
  <c r="L8" i="3"/>
  <c r="H11" i="2" l="1"/>
  <c r="D15"/>
  <c r="H14"/>
  <c r="N23"/>
  <c r="Y23"/>
  <c r="Y21"/>
  <c r="Y24"/>
  <c r="Y25"/>
  <c r="Y26"/>
  <c r="Y27"/>
  <c r="D16" l="1"/>
  <c r="H15"/>
  <c r="Y22"/>
  <c r="I9"/>
  <c r="I10" s="1"/>
  <c r="I11" s="1"/>
  <c r="I12" s="1"/>
  <c r="I13" s="1"/>
  <c r="I14" s="1"/>
  <c r="I15" s="1"/>
  <c r="I16" s="1"/>
  <c r="I17" s="1"/>
  <c r="I18" s="1"/>
  <c r="I19" s="1"/>
  <c r="D17" l="1"/>
  <c r="H16"/>
  <c r="N22" i="3"/>
  <c r="N26"/>
  <c r="N28"/>
  <c r="N27"/>
  <c r="N25"/>
  <c r="N24"/>
  <c r="N23"/>
  <c r="N21"/>
  <c r="N24" i="2"/>
  <c r="N25"/>
  <c r="N26"/>
  <c r="N27"/>
  <c r="D18" l="1"/>
  <c r="H17"/>
  <c r="P59" i="3"/>
  <c r="P40"/>
  <c r="P39"/>
  <c r="P38"/>
  <c r="P37"/>
  <c r="P36"/>
  <c r="P43"/>
  <c r="P41"/>
  <c r="P17"/>
  <c r="X9" i="2"/>
  <c r="X10" s="1"/>
  <c r="X11" s="1"/>
  <c r="X12" s="1"/>
  <c r="X13" s="1"/>
  <c r="X14" s="1"/>
  <c r="X15" s="1"/>
  <c r="X16" s="1"/>
  <c r="J10"/>
  <c r="D19" l="1"/>
  <c r="H19" s="1"/>
  <c r="H18"/>
  <c r="N62" i="3"/>
  <c r="Z26" i="2"/>
  <c r="Z27"/>
  <c r="Z24"/>
  <c r="Z25"/>
  <c r="X28"/>
  <c r="T28"/>
  <c r="K9"/>
  <c r="K10" s="1"/>
  <c r="K11" s="1"/>
  <c r="K12" s="1"/>
  <c r="K13" s="1"/>
  <c r="K14" s="1"/>
  <c r="K15" s="1"/>
  <c r="K16" s="1"/>
  <c r="K17" s="1"/>
  <c r="K18" s="1"/>
  <c r="K19" s="1"/>
  <c r="K28" l="1"/>
  <c r="V9"/>
  <c r="U9"/>
  <c r="Z22" l="1"/>
  <c r="Y8"/>
  <c r="Q9" l="1"/>
  <c r="V10"/>
  <c r="U10"/>
  <c r="S9"/>
  <c r="R9"/>
  <c r="L7" i="3"/>
  <c r="H28"/>
  <c r="H24"/>
  <c r="H23"/>
  <c r="J14"/>
  <c r="L12"/>
  <c r="D14" s="1"/>
  <c r="P5"/>
  <c r="A1"/>
  <c r="J11" i="2"/>
  <c r="J12" s="1"/>
  <c r="J13" s="1"/>
  <c r="J14" s="1"/>
  <c r="J15" s="1"/>
  <c r="J16" s="1"/>
  <c r="J17" s="1"/>
  <c r="J18" s="1"/>
  <c r="J19" s="1"/>
  <c r="J9"/>
  <c r="M9"/>
  <c r="L9"/>
  <c r="G9"/>
  <c r="F9"/>
  <c r="E9"/>
  <c r="E10"/>
  <c r="E11"/>
  <c r="E12"/>
  <c r="E13"/>
  <c r="E14"/>
  <c r="E15"/>
  <c r="E16"/>
  <c r="E17"/>
  <c r="E18"/>
  <c r="E19"/>
  <c r="J28" l="1"/>
  <c r="G10"/>
  <c r="G11" s="1"/>
  <c r="G12" s="1"/>
  <c r="G13" s="1"/>
  <c r="G14" s="1"/>
  <c r="G15" s="1"/>
  <c r="G16" s="1"/>
  <c r="G17" s="1"/>
  <c r="G18" s="1"/>
  <c r="G19" s="1"/>
  <c r="R10"/>
  <c r="R11" s="1"/>
  <c r="R12" s="1"/>
  <c r="R13" s="1"/>
  <c r="R14" s="1"/>
  <c r="R15" s="1"/>
  <c r="R16" s="1"/>
  <c r="R17" s="1"/>
  <c r="R18" s="1"/>
  <c r="Q10"/>
  <c r="Q11" s="1"/>
  <c r="Q12" s="1"/>
  <c r="Q13" s="1"/>
  <c r="Q14" s="1"/>
  <c r="Q15" s="1"/>
  <c r="Q16" s="1"/>
  <c r="Q17" s="1"/>
  <c r="Q18" s="1"/>
  <c r="Q19" s="1"/>
  <c r="E28"/>
  <c r="F10"/>
  <c r="F11" s="1"/>
  <c r="F12" s="1"/>
  <c r="F13" s="1"/>
  <c r="F14" s="1"/>
  <c r="F15" s="1"/>
  <c r="F16" s="1"/>
  <c r="F17" s="1"/>
  <c r="F18" s="1"/>
  <c r="F19" s="1"/>
  <c r="L10"/>
  <c r="L11" s="1"/>
  <c r="L12" s="1"/>
  <c r="L13" s="1"/>
  <c r="L14" s="1"/>
  <c r="L15" s="1"/>
  <c r="L16" s="1"/>
  <c r="L17" s="1"/>
  <c r="L18" s="1"/>
  <c r="L19" s="1"/>
  <c r="S10"/>
  <c r="S11" s="1"/>
  <c r="S12" s="1"/>
  <c r="S13" s="1"/>
  <c r="S14" s="1"/>
  <c r="S15" s="1"/>
  <c r="S16" s="1"/>
  <c r="S17" s="1"/>
  <c r="S18" s="1"/>
  <c r="S19" s="1"/>
  <c r="P44" i="3"/>
  <c r="Z23" i="2"/>
  <c r="V11"/>
  <c r="V12" s="1"/>
  <c r="V13" s="1"/>
  <c r="V14" s="1"/>
  <c r="V15" s="1"/>
  <c r="V16" s="1"/>
  <c r="V17" s="1"/>
  <c r="V18" s="1"/>
  <c r="V19" s="1"/>
  <c r="U11"/>
  <c r="U12" s="1"/>
  <c r="U13" s="1"/>
  <c r="U14" s="1"/>
  <c r="U15" s="1"/>
  <c r="U16" s="1"/>
  <c r="U17" s="1"/>
  <c r="U18" s="1"/>
  <c r="U19" s="1"/>
  <c r="N8"/>
  <c r="M10"/>
  <c r="M11" s="1"/>
  <c r="M12" s="1"/>
  <c r="M13" s="1"/>
  <c r="M14" s="1"/>
  <c r="M15" s="1"/>
  <c r="M16" s="1"/>
  <c r="M17" s="1"/>
  <c r="M18" s="1"/>
  <c r="M19" s="1"/>
  <c r="W9" l="1"/>
  <c r="L28"/>
  <c r="F28"/>
  <c r="R28"/>
  <c r="L9" i="3" s="1"/>
  <c r="S28" i="2"/>
  <c r="U28"/>
  <c r="N9"/>
  <c r="V28"/>
  <c r="M28"/>
  <c r="Q28"/>
  <c r="G28"/>
  <c r="Y9" l="1"/>
  <c r="Z9" s="1"/>
  <c r="H27" i="3"/>
  <c r="H22"/>
  <c r="G14"/>
  <c r="L14" s="1"/>
  <c r="P15" s="1"/>
  <c r="W10" i="2"/>
  <c r="W11" s="1"/>
  <c r="N10"/>
  <c r="Y10" l="1"/>
  <c r="Z10" s="1"/>
  <c r="W12"/>
  <c r="N20"/>
  <c r="Y11"/>
  <c r="N11"/>
  <c r="Y20" l="1"/>
  <c r="W13"/>
  <c r="N12"/>
  <c r="Z11"/>
  <c r="Y12"/>
  <c r="E65" i="5" l="1"/>
  <c r="W14" i="2"/>
  <c r="N13"/>
  <c r="Z12"/>
  <c r="Y13"/>
  <c r="W15" l="1"/>
  <c r="E62" i="3"/>
  <c r="Z13" i="2"/>
  <c r="N14"/>
  <c r="Y14"/>
  <c r="W16" l="1"/>
  <c r="N15"/>
  <c r="Z14"/>
  <c r="Y15"/>
  <c r="Z8"/>
  <c r="Y16" l="1"/>
  <c r="W17"/>
  <c r="I65" i="5" s="1"/>
  <c r="Z15" i="2"/>
  <c r="N16"/>
  <c r="Y17" l="1"/>
  <c r="W18"/>
  <c r="K65" i="5" s="1"/>
  <c r="I62" i="3"/>
  <c r="Z16" i="2"/>
  <c r="Z21"/>
  <c r="N17"/>
  <c r="Y18" l="1"/>
  <c r="W19"/>
  <c r="L65" i="5" s="1"/>
  <c r="O65" s="1"/>
  <c r="K62" i="3"/>
  <c r="I28" i="2"/>
  <c r="F19" i="1" s="1"/>
  <c r="Z17" i="2"/>
  <c r="N18"/>
  <c r="D28"/>
  <c r="Y19" l="1"/>
  <c r="Y28" s="1"/>
  <c r="W28"/>
  <c r="F8" i="1" s="1"/>
  <c r="L62" i="3"/>
  <c r="O62" s="1"/>
  <c r="H28" i="2"/>
  <c r="F4" i="1" s="1"/>
  <c r="Z18" i="2"/>
  <c r="N19" l="1"/>
  <c r="Z19" l="1"/>
  <c r="N28"/>
  <c r="F17" i="1" l="1"/>
  <c r="Z20" i="2" l="1"/>
  <c r="Z28" s="1"/>
  <c r="O28"/>
  <c r="H21" i="5" l="1"/>
  <c r="H26" i="3"/>
  <c r="H26" i="5"/>
  <c r="H21" i="3"/>
  <c r="P6" i="5"/>
  <c r="P34"/>
  <c r="P45" s="1"/>
  <c r="P6" i="3"/>
  <c r="L10" i="5" l="1"/>
  <c r="N30"/>
  <c r="N30" i="3"/>
  <c r="P31" s="1"/>
  <c r="P34" s="1"/>
  <c r="P45" s="1"/>
  <c r="L10"/>
  <c r="P10" s="1"/>
  <c r="P11" s="1"/>
  <c r="P16" s="1"/>
  <c r="P18" s="1"/>
  <c r="P10" i="5" l="1"/>
  <c r="P11" s="1"/>
  <c r="P16" s="1"/>
  <c r="P18" s="1"/>
  <c r="P46" s="1"/>
  <c r="P47" s="1"/>
  <c r="F12" i="1"/>
  <c r="A20"/>
  <c r="D20"/>
  <c r="P46" i="3"/>
  <c r="P47" s="1"/>
  <c r="P51" s="1"/>
  <c r="P55" i="5" l="1"/>
  <c r="P54"/>
  <c r="P53"/>
  <c r="P52"/>
  <c r="P51"/>
  <c r="F6" i="1"/>
  <c r="P53" i="3"/>
  <c r="P52"/>
  <c r="P56" i="5" l="1"/>
  <c r="P54" i="3"/>
  <c r="P55" s="1"/>
  <c r="P57" i="5" l="1"/>
  <c r="P58"/>
  <c r="P56" i="3"/>
  <c r="P57" s="1"/>
  <c r="P59" i="5" l="1"/>
  <c r="P60" s="1"/>
  <c r="P61" s="1"/>
  <c r="P63" s="1"/>
  <c r="A66" s="1"/>
  <c r="P58" i="3"/>
  <c r="P66" i="5" l="1"/>
  <c r="P60" i="3"/>
  <c r="A63" l="1"/>
  <c r="A19" i="1" s="1"/>
  <c r="P63" i="3"/>
  <c r="D19" i="1" s="1"/>
</calcChain>
</file>

<file path=xl/sharedStrings.xml><?xml version="1.0" encoding="utf-8"?>
<sst xmlns="http://schemas.openxmlformats.org/spreadsheetml/2006/main" count="422" uniqueCount="205">
  <si>
    <t>PS Aarampura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</si>
  <si>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</si>
  <si>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</si>
  <si>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</si>
  <si>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</si>
  <si>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</si>
  <si>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</si>
  <si>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</si>
  <si>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</si>
  <si>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</si>
  <si>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</si>
  <si>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</si>
  <si>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</si>
  <si>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</si>
  <si>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</si>
  <si>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</si>
  <si>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</si>
  <si>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</si>
  <si>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 xml:space="preserve">                                                              'ks"k ¼2&amp;3½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</si>
  <si>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</si>
  <si>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</si>
  <si>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</si>
  <si>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</si>
  <si>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</si>
  <si>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</si>
  <si>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</si>
  <si>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Bonus</t>
  </si>
  <si>
    <t>Fixation Arrear</t>
  </si>
  <si>
    <t>Income Tax / TDS</t>
  </si>
  <si>
    <t>Leave  Pay</t>
  </si>
  <si>
    <t xml:space="preserve">Other 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</si>
  <si>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</si>
  <si>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</si>
  <si>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</si>
  <si>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</si>
  <si>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</si>
  <si>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</si>
  <si>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No</t>
  </si>
  <si>
    <t>Other Allowance 2</t>
  </si>
  <si>
    <t>HRA</t>
  </si>
  <si>
    <t>Salary Arrear 1</t>
  </si>
  <si>
    <t>Salary Arrear 2</t>
  </si>
  <si>
    <t>Salary Arrear 3</t>
  </si>
  <si>
    <t>BASIC+D.A.</t>
  </si>
  <si>
    <t>Bill No. &amp; T.V. No.</t>
  </si>
  <si>
    <t>DA Arrear</t>
  </si>
  <si>
    <t>Yes</t>
  </si>
  <si>
    <t>Total</t>
  </si>
  <si>
    <t>Designation</t>
  </si>
  <si>
    <t>C.C.A.</t>
  </si>
  <si>
    <t>RECEIPTS</t>
  </si>
  <si>
    <t>DEDUCTIONS</t>
  </si>
  <si>
    <t>GIS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</si>
  <si>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</si>
  <si>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</si>
  <si>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</si>
  <si>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</si>
  <si>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</si>
  <si>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</si>
  <si>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</si>
  <si>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</si>
  <si>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</si>
  <si>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</si>
  <si>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</si>
  <si>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</si>
  <si>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</si>
  <si>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</si>
  <si>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</si>
  <si>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</si>
  <si>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</si>
  <si>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</si>
  <si>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</si>
  <si>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</si>
  <si>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</si>
  <si>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Total Income from Salary With NPS</t>
  </si>
  <si>
    <t>House Rent, Under Section 10(13-A) and other Allowances Under Section 10(14) which are Exempt from tax.</t>
  </si>
  <si>
    <t xml:space="preserve">                                                           Remanent (4-5)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</si>
  <si>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</si>
  <si>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</si>
  <si>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</si>
  <si>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</si>
  <si>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</si>
  <si>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</si>
  <si>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</si>
  <si>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>House Tax</t>
  </si>
  <si>
    <t>Remainder -/+ (sum of 7(A) and 7(B)</t>
  </si>
  <si>
    <t>Total Balance -/+ (6 &amp; 7)</t>
  </si>
  <si>
    <t>Other Income</t>
  </si>
  <si>
    <t>Gross Income (8+9)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</si>
  <si>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</si>
  <si>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</si>
  <si>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</si>
  <si>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</si>
  <si>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Total Deductions </t>
    </r>
    <r>
      <rPr>
        <b/>
        <sz val="10"/>
        <rFont val="Calibri"/>
        <family val="2"/>
        <scheme val="minor"/>
      </rPr>
      <t>( 11 + 12)</t>
    </r>
  </si>
  <si>
    <t>Taxable Income (10-13)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</si>
  <si>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</si>
  <si>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</si>
  <si>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</si>
  <si>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</si>
  <si>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</si>
  <si>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</si>
  <si>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</si>
  <si>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</si>
  <si>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</si>
  <si>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</si>
  <si>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</si>
  <si>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</si>
  <si>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</si>
  <si>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</si>
  <si>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</si>
  <si>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</si>
  <si>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</si>
  <si>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</si>
  <si>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>Up to September 2022</t>
  </si>
  <si>
    <t xml:space="preserve">T.D.S </t>
  </si>
  <si>
    <t>Total Tax Deduction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</si>
  <si>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</si>
  <si>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</si>
  <si>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</si>
  <si>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</si>
  <si>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</si>
  <si>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</si>
  <si>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</si>
  <si>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</si>
  <si>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</si>
  <si>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</si>
  <si>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</si>
  <si>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</si>
  <si>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</si>
  <si>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</si>
  <si>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17. 80TTA/80TTB Maximum Interest on Savings Account</t>
  </si>
  <si>
    <t>10. Tution Fees</t>
  </si>
  <si>
    <t>18. Income Of Other Source (Bank FD, Interest etc)</t>
  </si>
  <si>
    <t>NPS (New Pension Scheme)</t>
  </si>
  <si>
    <t>21. 80CCD(1B) Additional Contribution in NPS - (Max. 50000)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</si>
  <si>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</si>
  <si>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(C) Less - Section 80CCD (1B) Additional Contribution to New Pension Scheme (Maximum Rs.50,000)</t>
  </si>
  <si>
    <t xml:space="preserve">Total (A+B+C)     </t>
  </si>
  <si>
    <t>22. 80D Medical Insurance Premium</t>
  </si>
  <si>
    <t>23. 80DD Medical treatment of dependents with disabilities</t>
  </si>
  <si>
    <t>24. 80DDB Deduction for treatment of specific diseases</t>
  </si>
  <si>
    <t>25. 80E Interest on loan taken for higher education</t>
  </si>
  <si>
    <t>26. 80G Donations given to charitable institutions etc.</t>
  </si>
  <si>
    <t>27. 80U In case of permanent physical disability</t>
  </si>
  <si>
    <t>28. 80GGA Donations given for approved scientific, social, rural development etc.</t>
  </si>
  <si>
    <t>29. Equity Linked Savings Scheme</t>
  </si>
  <si>
    <t>30. Defferred Annuty</t>
  </si>
  <si>
    <t>31. Relief under section 89</t>
  </si>
  <si>
    <t>32. TDS - Income tax deposited in addition to salary bill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</si>
  <si>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</si>
  <si>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</si>
  <si>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</si>
  <si>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</si>
  <si>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</si>
  <si>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</si>
  <si>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</si>
  <si>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</si>
  <si>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</si>
  <si>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</si>
  <si>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20. (80CCC) Contribution to Pension Plan - Other Than NPS</t>
  </si>
  <si>
    <t xml:space="preserve">19. 80C - Other Deductions In Under Section </t>
  </si>
  <si>
    <t>3. Expenditure tax under section 16(III)</t>
  </si>
  <si>
    <t>CREATED BY : PARMANAND MEGHWAL SENIOR TEACHER  (9784379510) , BARAN RAJASTHAN.</t>
  </si>
  <si>
    <t>DOWNLOD TAX SOFTWARE  -  RAJTEACHERS.NET</t>
  </si>
  <si>
    <t>6. Home Loan Principal Amount</t>
  </si>
  <si>
    <t>HBA Premium -Home Loan Principal Amount</t>
  </si>
  <si>
    <t>OFFICE OF THE PRINCIPAL GOVT. HIGHER SECONDARY SCHOOL, GANGIWARA,  CHHINDWARA M.P.</t>
  </si>
  <si>
    <t>Name Of Employee</t>
  </si>
  <si>
    <t>DDO Code</t>
  </si>
  <si>
    <t>DDO Name</t>
  </si>
  <si>
    <t>PAN</t>
  </si>
  <si>
    <t>TAN</t>
  </si>
  <si>
    <t>Treasury Code</t>
  </si>
  <si>
    <t>Portal ID</t>
  </si>
  <si>
    <t>Professional Tax</t>
  </si>
  <si>
    <t xml:space="preserve">(iv) Standard Deduction (Maximum limit Rs.50000)  </t>
  </si>
  <si>
    <t>(iii) Professional Tax under section 10</t>
  </si>
  <si>
    <t>Recovery</t>
  </si>
  <si>
    <t>Senior Citizen</t>
  </si>
  <si>
    <t>Employee of The "NPS" Yes Or No</t>
  </si>
  <si>
    <t>RAJTEACHERS.NET</t>
  </si>
  <si>
    <t>SENIOR TEACHER</t>
  </si>
  <si>
    <t>Block Education Officer, Chhindwara</t>
  </si>
  <si>
    <t>AAAAAAA</t>
  </si>
  <si>
    <t xml:space="preserve">                                                           Remanent (2-3)</t>
  </si>
  <si>
    <t>PARMANAND MEGHWAL</t>
  </si>
  <si>
    <t xml:space="preserve">More Than 15,00,000 </t>
  </si>
  <si>
    <t xml:space="preserve">Basic Pay March 2023 </t>
  </si>
  <si>
    <t>ANNUAL PAY DETAILS FOR FY 2023-24</t>
  </si>
  <si>
    <t>DA Arrear 38%</t>
  </si>
  <si>
    <t>3,00,001-6,00,000</t>
  </si>
  <si>
    <t>6,00,001-9,00,0,000</t>
  </si>
  <si>
    <t>9,00,001-12,00,000</t>
  </si>
  <si>
    <t>12,00,001-15,00,000</t>
  </si>
  <si>
    <t>Up to 6,00,000</t>
  </si>
  <si>
    <t>(4) Balance Income Tax</t>
  </si>
  <si>
    <t>(5) Education cess 2% and surcharge for higher education 2% (Total 4%)</t>
  </si>
  <si>
    <t>(3) Marginal Relief benefit under section 115BAC(1)</t>
  </si>
  <si>
    <t>(2) Exemption section 87(I) (exemption of income tax on taxable income of Rs.3.00 lakh to Rs.7.00 lakh subject to a maximum of Rs.25000)</t>
  </si>
  <si>
    <t>Up to September 2023</t>
  </si>
  <si>
    <t>Up to December 2023</t>
  </si>
  <si>
    <t>Up to January 2024</t>
  </si>
  <si>
    <t>Up to February 2024</t>
  </si>
  <si>
    <t>Income Tax Computation Year 2023-2024 (Assessment Year 2024-2025)</t>
  </si>
  <si>
    <t>(B) Less - Section 80CCD(2) The Amount of Pension Contribution by the Employer (14% of the Maximum Salary) Separately exempted</t>
  </si>
</sst>
</file>

<file path=xl/styles.xml><?xml version="1.0" encoding="utf-8"?>
<styleSheet xmlns="http://schemas.openxmlformats.org/spreadsheetml/2006/main">
  <fonts count="72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u/>
      <sz val="16"/>
      <color rgb="FFC00000"/>
      <name val="Times New Roman"/>
      <family val="1"/>
    </font>
    <font>
      <b/>
      <u/>
      <sz val="16"/>
      <color rgb="FF0000FF"/>
      <name val="Times New Roman"/>
      <family val="1"/>
    </font>
    <font>
      <b/>
      <sz val="24"/>
      <name val="Arial"/>
      <family val="2"/>
    </font>
    <font>
      <b/>
      <sz val="14"/>
      <color theme="0"/>
      <name val="Arial"/>
      <family val="2"/>
    </font>
    <font>
      <b/>
      <sz val="18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5" fillId="0" borderId="0"/>
    <xf numFmtId="0" fontId="5" fillId="0" borderId="0"/>
    <xf numFmtId="0" fontId="7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295">
    <xf numFmtId="0" fontId="0" fillId="0" borderId="0" xfId="0"/>
    <xf numFmtId="2" fontId="1" fillId="0" borderId="0" xfId="0" applyNumberFormat="1" applyFont="1" applyBorder="1" applyAlignment="1"/>
    <xf numFmtId="2" fontId="6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5" fillId="0" borderId="0" xfId="37" applyFont="1"/>
    <xf numFmtId="0" fontId="1" fillId="0" borderId="0" xfId="37" applyFont="1"/>
    <xf numFmtId="0" fontId="24" fillId="0" borderId="0" xfId="37" applyFont="1" applyAlignment="1">
      <alignment horizontal="right"/>
    </xf>
    <xf numFmtId="0" fontId="25" fillId="0" borderId="0" xfId="37" applyFont="1" applyAlignment="1">
      <alignment horizontal="right"/>
    </xf>
    <xf numFmtId="0" fontId="0" fillId="0" borderId="0" xfId="0" applyAlignment="1">
      <alignment vertical="center"/>
    </xf>
    <xf numFmtId="0" fontId="34" fillId="0" borderId="0" xfId="0" applyNumberFormat="1" applyFont="1" applyFill="1" applyBorder="1" applyAlignment="1">
      <alignment horizontal="center" textRotation="90" wrapText="1"/>
    </xf>
    <xf numFmtId="0" fontId="31" fillId="0" borderId="0" xfId="0" applyNumberFormat="1" applyFont="1" applyFill="1" applyBorder="1" applyAlignment="1">
      <alignment vertical="center"/>
    </xf>
    <xf numFmtId="0" fontId="34" fillId="0" borderId="0" xfId="0" applyNumberFormat="1" applyFont="1" applyFill="1" applyBorder="1" applyAlignment="1">
      <alignment horizontal="center" vertical="center" textRotation="90"/>
    </xf>
    <xf numFmtId="0" fontId="26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2" fontId="30" fillId="0" borderId="0" xfId="37" applyNumberFormat="1" applyFont="1" applyBorder="1" applyAlignment="1">
      <alignment horizontal="right" vertical="center"/>
    </xf>
    <xf numFmtId="0" fontId="31" fillId="0" borderId="10" xfId="0" applyNumberFormat="1" applyFont="1" applyBorder="1" applyAlignment="1" applyProtection="1">
      <alignment horizontal="center" vertical="center"/>
      <protection locked="0" hidden="1"/>
    </xf>
    <xf numFmtId="0" fontId="34" fillId="0" borderId="10" xfId="0" applyNumberFormat="1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6" fillId="24" borderId="0" xfId="0" applyNumberFormat="1" applyFont="1" applyFill="1" applyBorder="1" applyAlignment="1">
      <alignment horizontal="left" indent="2"/>
    </xf>
    <xf numFmtId="0" fontId="26" fillId="26" borderId="0" xfId="0" applyNumberFormat="1" applyFont="1" applyFill="1" applyBorder="1" applyAlignment="1">
      <alignment vertical="top"/>
    </xf>
    <xf numFmtId="0" fontId="34" fillId="26" borderId="0" xfId="0" applyNumberFormat="1" applyFont="1" applyFill="1" applyBorder="1" applyAlignment="1">
      <alignment horizontal="center" textRotation="90" wrapText="1"/>
    </xf>
    <xf numFmtId="0" fontId="31" fillId="26" borderId="0" xfId="0" applyNumberFormat="1" applyFont="1" applyFill="1" applyBorder="1" applyAlignment="1">
      <alignment vertical="center"/>
    </xf>
    <xf numFmtId="0" fontId="34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0" fillId="0" borderId="0" xfId="0" applyFill="1"/>
    <xf numFmtId="2" fontId="6" fillId="24" borderId="17" xfId="0" applyNumberFormat="1" applyFont="1" applyFill="1" applyBorder="1" applyAlignment="1">
      <alignment horizontal="left"/>
    </xf>
    <xf numFmtId="2" fontId="6" fillId="24" borderId="17" xfId="0" applyNumberFormat="1" applyFont="1" applyFill="1" applyBorder="1" applyAlignment="1">
      <alignment horizontal="left" indent="2"/>
    </xf>
    <xf numFmtId="2" fontId="45" fillId="31" borderId="17" xfId="0" applyNumberFormat="1" applyFont="1" applyFill="1" applyBorder="1" applyAlignment="1">
      <alignment horizontal="center" vertical="center"/>
    </xf>
    <xf numFmtId="1" fontId="46" fillId="30" borderId="0" xfId="0" applyNumberFormat="1" applyFont="1" applyFill="1" applyBorder="1" applyAlignment="1">
      <alignment horizontal="center" vertical="center"/>
    </xf>
    <xf numFmtId="1" fontId="46" fillId="31" borderId="0" xfId="0" applyNumberFormat="1" applyFont="1" applyFill="1" applyBorder="1" applyAlignment="1">
      <alignment horizontal="center" vertical="center"/>
    </xf>
    <xf numFmtId="1" fontId="46" fillId="29" borderId="0" xfId="0" applyNumberFormat="1" applyFont="1" applyFill="1" applyBorder="1" applyAlignment="1">
      <alignment horizontal="center" vertical="center"/>
    </xf>
    <xf numFmtId="2" fontId="46" fillId="29" borderId="0" xfId="0" applyNumberFormat="1" applyFont="1" applyFill="1" applyBorder="1" applyAlignment="1">
      <alignment horizontal="center" vertical="center"/>
    </xf>
    <xf numFmtId="2" fontId="29" fillId="29" borderId="0" xfId="0" applyNumberFormat="1" applyFont="1" applyFill="1" applyBorder="1" applyAlignment="1" applyProtection="1">
      <alignment horizontal="center"/>
      <protection locked="0"/>
    </xf>
    <xf numFmtId="2" fontId="29" fillId="29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 vertical="center"/>
      <protection locked="0"/>
    </xf>
    <xf numFmtId="2" fontId="29" fillId="33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/>
      <protection locked="0"/>
    </xf>
    <xf numFmtId="2" fontId="47" fillId="34" borderId="17" xfId="0" applyNumberFormat="1" applyFont="1" applyFill="1" applyBorder="1" applyAlignment="1">
      <alignment horizontal="center"/>
    </xf>
    <xf numFmtId="17" fontId="36" fillId="0" borderId="22" xfId="0" applyNumberFormat="1" applyFont="1" applyBorder="1" applyAlignment="1">
      <alignment horizontal="center" vertical="center"/>
    </xf>
    <xf numFmtId="0" fontId="31" fillId="0" borderId="21" xfId="0" applyNumberFormat="1" applyFont="1" applyBorder="1" applyAlignment="1" applyProtection="1">
      <alignment horizontal="center" vertical="center"/>
      <protection locked="0" hidden="1"/>
    </xf>
    <xf numFmtId="17" fontId="31" fillId="0" borderId="22" xfId="0" applyNumberFormat="1" applyFont="1" applyBorder="1" applyAlignment="1" applyProtection="1">
      <alignment horizontal="center" vertical="center"/>
      <protection locked="0"/>
    </xf>
    <xf numFmtId="17" fontId="31" fillId="0" borderId="22" xfId="0" applyNumberFormat="1" applyFont="1" applyFill="1" applyBorder="1" applyAlignment="1" applyProtection="1">
      <alignment horizontal="center" vertical="center"/>
    </xf>
    <xf numFmtId="17" fontId="31" fillId="0" borderId="22" xfId="0" applyNumberFormat="1" applyFont="1" applyFill="1" applyBorder="1" applyAlignment="1" applyProtection="1">
      <alignment horizontal="center" vertical="center"/>
      <protection locked="0"/>
    </xf>
    <xf numFmtId="0" fontId="34" fillId="0" borderId="27" xfId="0" applyNumberFormat="1" applyFont="1" applyBorder="1" applyAlignment="1">
      <alignment horizontal="center" vertical="center" textRotation="90"/>
    </xf>
    <xf numFmtId="0" fontId="41" fillId="0" borderId="28" xfId="0" applyNumberFormat="1" applyFont="1" applyBorder="1" applyAlignment="1" applyProtection="1">
      <alignment horizontal="center" vertical="center" textRotation="90"/>
      <protection hidden="1"/>
    </xf>
    <xf numFmtId="2" fontId="41" fillId="0" borderId="28" xfId="0" applyNumberFormat="1" applyFont="1" applyBorder="1" applyAlignment="1" applyProtection="1">
      <alignment horizontal="center" vertical="center" textRotation="90"/>
      <protection hidden="1"/>
    </xf>
    <xf numFmtId="0" fontId="34" fillId="0" borderId="29" xfId="0" applyNumberFormat="1" applyFont="1" applyBorder="1" applyAlignment="1" applyProtection="1">
      <alignment horizontal="center" vertical="center" textRotation="90"/>
      <protection hidden="1"/>
    </xf>
    <xf numFmtId="0" fontId="31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59" fillId="0" borderId="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30" fillId="0" borderId="0" xfId="37" applyFont="1" applyBorder="1"/>
    <xf numFmtId="0" fontId="31" fillId="0" borderId="0" xfId="37" applyFont="1" applyBorder="1"/>
    <xf numFmtId="0" fontId="31" fillId="0" borderId="0" xfId="37" applyFont="1" applyBorder="1" applyAlignment="1">
      <alignment horizontal="right"/>
    </xf>
    <xf numFmtId="0" fontId="30" fillId="0" borderId="0" xfId="37" applyFont="1" applyFill="1" applyBorder="1"/>
    <xf numFmtId="0" fontId="30" fillId="0" borderId="0" xfId="37" applyFont="1" applyFill="1"/>
    <xf numFmtId="0" fontId="31" fillId="0" borderId="0" xfId="37" applyFont="1" applyFill="1" applyBorder="1"/>
    <xf numFmtId="0" fontId="31" fillId="0" borderId="0" xfId="37" applyFont="1" applyFill="1"/>
    <xf numFmtId="0" fontId="30" fillId="26" borderId="0" xfId="37" applyFont="1" applyFill="1"/>
    <xf numFmtId="0" fontId="31" fillId="26" borderId="0" xfId="37" applyFont="1" applyFill="1"/>
    <xf numFmtId="0" fontId="34" fillId="26" borderId="0" xfId="37" applyFont="1" applyFill="1" applyAlignment="1">
      <alignment horizontal="right"/>
    </xf>
    <xf numFmtId="0" fontId="31" fillId="26" borderId="0" xfId="37" applyFont="1" applyFill="1" applyAlignment="1">
      <alignment horizontal="right"/>
    </xf>
    <xf numFmtId="0" fontId="30" fillId="0" borderId="0" xfId="37" applyFont="1"/>
    <xf numFmtId="0" fontId="31" fillId="0" borderId="0" xfId="37" applyFont="1"/>
    <xf numFmtId="0" fontId="34" fillId="0" borderId="0" xfId="37" applyFont="1" applyAlignment="1">
      <alignment horizontal="right"/>
    </xf>
    <xf numFmtId="0" fontId="31" fillId="0" borderId="0" xfId="37" applyFont="1" applyAlignment="1">
      <alignment horizontal="right"/>
    </xf>
    <xf numFmtId="2" fontId="30" fillId="29" borderId="0" xfId="0" applyNumberFormat="1" applyFont="1" applyFill="1" applyBorder="1" applyAlignment="1">
      <alignment horizontal="left" indent="1"/>
    </xf>
    <xf numFmtId="2" fontId="30" fillId="33" borderId="0" xfId="0" applyNumberFormat="1" applyFont="1" applyFill="1" applyBorder="1" applyAlignment="1">
      <alignment horizontal="left" vertical="center" wrapText="1" indent="1"/>
    </xf>
    <xf numFmtId="2" fontId="30" fillId="33" borderId="0" xfId="0" applyNumberFormat="1" applyFont="1" applyFill="1" applyBorder="1" applyAlignment="1">
      <alignment horizontal="left" vertical="center" indent="1"/>
    </xf>
    <xf numFmtId="2" fontId="30" fillId="33" borderId="0" xfId="0" applyNumberFormat="1" applyFont="1" applyFill="1" applyBorder="1" applyAlignment="1">
      <alignment horizontal="left" indent="1"/>
    </xf>
    <xf numFmtId="2" fontId="30" fillId="29" borderId="0" xfId="0" applyNumberFormat="1" applyFont="1" applyFill="1" applyBorder="1" applyAlignment="1" applyProtection="1">
      <alignment horizontal="left" vertical="center" wrapText="1" indent="1"/>
    </xf>
    <xf numFmtId="2" fontId="31" fillId="33" borderId="0" xfId="0" applyNumberFormat="1" applyFont="1" applyFill="1" applyBorder="1" applyAlignment="1">
      <alignment horizontal="left" indent="1"/>
    </xf>
    <xf numFmtId="0" fontId="3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1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31" fillId="0" borderId="10" xfId="0" applyNumberFormat="1" applyFont="1" applyFill="1" applyBorder="1" applyAlignment="1" applyProtection="1">
      <alignment vertical="center"/>
      <protection locked="0"/>
    </xf>
    <xf numFmtId="0" fontId="37" fillId="0" borderId="22" xfId="0" applyNumberFormat="1" applyFont="1" applyFill="1" applyBorder="1" applyAlignment="1" applyProtection="1">
      <alignment horizontal="center" vertical="center" wrapText="1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1" fontId="31" fillId="0" borderId="10" xfId="0" applyNumberFormat="1" applyFont="1" applyBorder="1" applyAlignment="1" applyProtection="1">
      <alignment horizontal="center" vertical="center"/>
      <protection locked="0" hidden="1"/>
    </xf>
    <xf numFmtId="0" fontId="69" fillId="0" borderId="10" xfId="0" applyNumberFormat="1" applyFont="1" applyFill="1" applyBorder="1" applyAlignment="1">
      <alignment horizontal="center" vertical="center"/>
    </xf>
    <xf numFmtId="0" fontId="69" fillId="0" borderId="14" xfId="0" applyNumberFormat="1" applyFont="1" applyFill="1" applyBorder="1" applyAlignment="1">
      <alignment horizontal="center" vertical="center"/>
    </xf>
    <xf numFmtId="0" fontId="49" fillId="28" borderId="39" xfId="0" applyNumberFormat="1" applyFont="1" applyFill="1" applyBorder="1" applyAlignment="1" applyProtection="1">
      <alignment vertical="center" wrapText="1"/>
      <protection locked="0" hidden="1"/>
    </xf>
    <xf numFmtId="0" fontId="4" fillId="0" borderId="44" xfId="0" applyNumberFormat="1" applyFont="1" applyBorder="1" applyAlignment="1">
      <alignment vertical="top" textRotation="90"/>
    </xf>
    <xf numFmtId="0" fontId="4" fillId="0" borderId="36" xfId="0" applyNumberFormat="1" applyFont="1" applyBorder="1" applyAlignment="1">
      <alignment vertical="top" textRotation="90"/>
    </xf>
    <xf numFmtId="0" fontId="5" fillId="0" borderId="44" xfId="0" applyNumberFormat="1" applyFont="1" applyBorder="1" applyAlignment="1">
      <alignment vertical="top"/>
    </xf>
    <xf numFmtId="0" fontId="5" fillId="0" borderId="36" xfId="0" applyNumberFormat="1" applyFont="1" applyBorder="1" applyAlignment="1">
      <alignment vertical="top"/>
    </xf>
    <xf numFmtId="0" fontId="5" fillId="0" borderId="44" xfId="0" applyNumberFormat="1" applyFont="1" applyFill="1" applyBorder="1" applyAlignment="1">
      <alignment vertical="top"/>
    </xf>
    <xf numFmtId="0" fontId="5" fillId="0" borderId="36" xfId="0" applyNumberFormat="1" applyFont="1" applyFill="1" applyBorder="1" applyAlignment="1">
      <alignment vertical="top"/>
    </xf>
    <xf numFmtId="0" fontId="6" fillId="36" borderId="0" xfId="0" applyNumberFormat="1" applyFont="1" applyFill="1" applyBorder="1" applyAlignment="1" applyProtection="1">
      <alignment vertical="center"/>
      <protection locked="0"/>
    </xf>
    <xf numFmtId="0" fontId="6" fillId="36" borderId="36" xfId="0" applyNumberFormat="1" applyFont="1" applyFill="1" applyBorder="1" applyAlignment="1" applyProtection="1">
      <alignment vertical="center"/>
      <protection locked="0"/>
    </xf>
    <xf numFmtId="1" fontId="6" fillId="36" borderId="0" xfId="0" applyNumberFormat="1" applyFont="1" applyFill="1" applyBorder="1" applyAlignment="1" applyProtection="1">
      <alignment vertical="center"/>
      <protection locked="0"/>
    </xf>
    <xf numFmtId="1" fontId="6" fillId="36" borderId="36" xfId="0" applyNumberFormat="1" applyFont="1" applyFill="1" applyBorder="1" applyAlignment="1" applyProtection="1">
      <alignment vertical="center"/>
      <protection locked="0"/>
    </xf>
    <xf numFmtId="0" fontId="30" fillId="0" borderId="30" xfId="37" applyFont="1" applyBorder="1" applyAlignment="1" applyProtection="1">
      <alignment horizontal="center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31" fillId="0" borderId="32" xfId="37" applyFont="1" applyBorder="1" applyAlignment="1" applyProtection="1">
      <alignment horizontal="right" vertical="center"/>
      <protection hidden="1"/>
    </xf>
    <xf numFmtId="0" fontId="30" fillId="0" borderId="22" xfId="37" applyFont="1" applyBorder="1" applyAlignment="1" applyProtection="1">
      <alignment horizontal="center" vertical="center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2" fontId="29" fillId="0" borderId="21" xfId="37" applyNumberFormat="1" applyFont="1" applyBorder="1" applyAlignment="1" applyProtection="1">
      <alignment horizontal="right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0" fontId="43" fillId="0" borderId="10" xfId="37" applyFont="1" applyBorder="1" applyAlignment="1" applyProtection="1">
      <alignment horizontal="center" vertical="top" wrapText="1"/>
      <protection hidden="1"/>
    </xf>
    <xf numFmtId="2" fontId="52" fillId="0" borderId="10" xfId="37" applyNumberFormat="1" applyFont="1" applyBorder="1" applyAlignment="1" applyProtection="1">
      <alignment horizontal="center" vertical="top" wrapText="1"/>
      <protection hidden="1"/>
    </xf>
    <xf numFmtId="2" fontId="52" fillId="25" borderId="10" xfId="37" applyNumberFormat="1" applyFont="1" applyFill="1" applyBorder="1" applyAlignment="1" applyProtection="1">
      <alignment horizontal="center" vertical="top" wrapText="1"/>
      <protection hidden="1"/>
    </xf>
    <xf numFmtId="0" fontId="54" fillId="0" borderId="10" xfId="37" applyFont="1" applyBorder="1" applyAlignment="1" applyProtection="1">
      <alignment horizontal="center" vertical="top" wrapText="1"/>
      <protection hidden="1"/>
    </xf>
    <xf numFmtId="0" fontId="54" fillId="0" borderId="10" xfId="37" applyFont="1" applyBorder="1" applyAlignment="1" applyProtection="1">
      <alignment horizontal="left" vertical="top" wrapText="1"/>
      <protection hidden="1"/>
    </xf>
    <xf numFmtId="2" fontId="55" fillId="0" borderId="10" xfId="37" applyNumberFormat="1" applyFont="1" applyBorder="1" applyAlignment="1" applyProtection="1">
      <alignment horizontal="center" vertical="top" wrapText="1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30" fillId="0" borderId="24" xfId="37" applyFont="1" applyBorder="1" applyAlignment="1" applyProtection="1">
      <alignment horizontal="center" vertical="top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0" fontId="24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10" xfId="37" applyFont="1" applyBorder="1" applyAlignment="1" applyProtection="1">
      <alignment horizontal="center" vertical="center" wrapText="1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1" fontId="30" fillId="0" borderId="10" xfId="37" applyNumberFormat="1" applyFont="1" applyBorder="1" applyAlignment="1" applyProtection="1">
      <alignment horizontal="center" vertical="center" wrapText="1"/>
      <protection hidden="1"/>
    </xf>
    <xf numFmtId="2" fontId="30" fillId="0" borderId="29" xfId="37" applyNumberFormat="1" applyFont="1" applyBorder="1" applyAlignment="1" applyProtection="1">
      <alignment horizontal="right" vertical="center"/>
      <protection hidden="1"/>
    </xf>
    <xf numFmtId="0" fontId="42" fillId="0" borderId="45" xfId="0" applyNumberFormat="1" applyFont="1" applyFill="1" applyBorder="1" applyAlignment="1">
      <alignment horizontal="center" vertical="top"/>
    </xf>
    <xf numFmtId="0" fontId="42" fillId="0" borderId="42" xfId="0" applyNumberFormat="1" applyFont="1" applyFill="1" applyBorder="1" applyAlignment="1">
      <alignment horizontal="center" vertical="top"/>
    </xf>
    <xf numFmtId="0" fontId="42" fillId="0" borderId="46" xfId="0" applyNumberFormat="1" applyFont="1" applyFill="1" applyBorder="1" applyAlignment="1">
      <alignment horizontal="center" vertical="top"/>
    </xf>
    <xf numFmtId="0" fontId="67" fillId="0" borderId="40" xfId="0" applyNumberFormat="1" applyFont="1" applyBorder="1" applyAlignment="1" applyProtection="1">
      <alignment horizontal="center" vertical="center" wrapText="1"/>
      <protection locked="0"/>
    </xf>
    <xf numFmtId="0" fontId="67" fillId="0" borderId="41" xfId="0" applyNumberFormat="1" applyFont="1" applyBorder="1" applyAlignment="1" applyProtection="1">
      <alignment horizontal="center" vertical="center"/>
      <protection locked="0"/>
    </xf>
    <xf numFmtId="0" fontId="67" fillId="0" borderId="34" xfId="0" applyNumberFormat="1" applyFont="1" applyBorder="1" applyAlignment="1" applyProtection="1">
      <alignment horizontal="center" vertical="center"/>
      <protection locked="0"/>
    </xf>
    <xf numFmtId="0" fontId="6" fillId="36" borderId="44" xfId="0" applyNumberFormat="1" applyFont="1" applyFill="1" applyBorder="1" applyAlignment="1">
      <alignment horizontal="left" vertical="center"/>
    </xf>
    <xf numFmtId="0" fontId="6" fillId="36" borderId="0" xfId="0" applyNumberFormat="1" applyFont="1" applyFill="1" applyBorder="1" applyAlignment="1">
      <alignment horizontal="left" vertical="center"/>
    </xf>
    <xf numFmtId="0" fontId="51" fillId="35" borderId="22" xfId="0" applyNumberFormat="1" applyFont="1" applyFill="1" applyBorder="1" applyAlignment="1" applyProtection="1">
      <alignment horizontal="center" vertical="center"/>
      <protection hidden="1"/>
    </xf>
    <xf numFmtId="0" fontId="51" fillId="35" borderId="10" xfId="0" applyNumberFormat="1" applyFont="1" applyFill="1" applyBorder="1" applyAlignment="1" applyProtection="1">
      <alignment horizontal="center" vertical="center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7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6" fillId="36" borderId="0" xfId="0" applyNumberFormat="1" applyFont="1" applyFill="1" applyBorder="1" applyAlignment="1">
      <alignment horizontal="center" vertical="center"/>
    </xf>
    <xf numFmtId="0" fontId="6" fillId="36" borderId="0" xfId="0" applyNumberFormat="1" applyFont="1" applyFill="1" applyBorder="1" applyAlignment="1" applyProtection="1">
      <alignment horizontal="center" vertical="center"/>
      <protection locked="0"/>
    </xf>
    <xf numFmtId="1" fontId="6" fillId="36" borderId="0" xfId="0" applyNumberFormat="1" applyFont="1" applyFill="1" applyBorder="1" applyAlignment="1" applyProtection="1">
      <alignment horizontal="center" vertical="center"/>
      <protection locked="0"/>
    </xf>
    <xf numFmtId="0" fontId="70" fillId="38" borderId="47" xfId="0" applyFont="1" applyFill="1" applyBorder="1" applyAlignment="1" applyProtection="1">
      <alignment horizontal="center" vertical="center" wrapText="1"/>
      <protection hidden="1"/>
    </xf>
    <xf numFmtId="0" fontId="70" fillId="38" borderId="48" xfId="0" applyFont="1" applyFill="1" applyBorder="1" applyAlignment="1" applyProtection="1">
      <alignment horizontal="center" vertical="center" wrapText="1"/>
      <protection hidden="1"/>
    </xf>
    <xf numFmtId="0" fontId="70" fillId="38" borderId="49" xfId="0" applyFont="1" applyFill="1" applyBorder="1" applyAlignment="1" applyProtection="1">
      <alignment horizontal="center" vertical="center" wrapText="1"/>
      <protection hidden="1"/>
    </xf>
    <xf numFmtId="0" fontId="49" fillId="28" borderId="39" xfId="0" applyNumberFormat="1" applyFont="1" applyFill="1" applyBorder="1" applyAlignment="1" applyProtection="1">
      <alignment horizontal="left" vertical="center" wrapText="1"/>
      <protection hidden="1"/>
    </xf>
    <xf numFmtId="0" fontId="71" fillId="32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66" fillId="28" borderId="39" xfId="0" applyNumberFormat="1" applyFont="1" applyFill="1" applyBorder="1" applyAlignment="1" applyProtection="1">
      <alignment horizontal="center" vertical="center" wrapText="1"/>
      <protection hidden="1"/>
    </xf>
    <xf numFmtId="0" fontId="68" fillId="0" borderId="23" xfId="0" applyNumberFormat="1" applyFont="1" applyBorder="1" applyAlignment="1" applyProtection="1">
      <alignment horizontal="center" vertical="center" wrapText="1"/>
    </xf>
    <xf numFmtId="0" fontId="68" fillId="0" borderId="39" xfId="0" applyNumberFormat="1" applyFont="1" applyBorder="1" applyAlignment="1" applyProtection="1">
      <alignment horizontal="center" vertical="center" wrapText="1"/>
    </xf>
    <xf numFmtId="0" fontId="68" fillId="0" borderId="43" xfId="0" applyNumberFormat="1" applyFont="1" applyBorder="1" applyAlignment="1" applyProtection="1">
      <alignment horizontal="center" vertical="center" wrapText="1"/>
    </xf>
    <xf numFmtId="0" fontId="66" fillId="28" borderId="47" xfId="0" applyNumberFormat="1" applyFont="1" applyFill="1" applyBorder="1" applyAlignment="1" applyProtection="1">
      <alignment horizontal="center" vertical="center" wrapText="1"/>
      <protection hidden="1"/>
    </xf>
    <xf numFmtId="0" fontId="66" fillId="28" borderId="48" xfId="0" applyNumberFormat="1" applyFont="1" applyFill="1" applyBorder="1" applyAlignment="1" applyProtection="1">
      <alignment horizontal="center" vertical="center" wrapText="1"/>
      <protection hidden="1"/>
    </xf>
    <xf numFmtId="0" fontId="58" fillId="32" borderId="48" xfId="0" applyNumberFormat="1" applyFont="1" applyFill="1" applyBorder="1" applyAlignment="1" applyProtection="1">
      <alignment horizontal="center" vertical="center" wrapText="1"/>
      <protection locked="0" hidden="1"/>
    </xf>
    <xf numFmtId="0" fontId="58" fillId="32" borderId="49" xfId="0" applyNumberFormat="1" applyFont="1" applyFill="1" applyBorder="1" applyAlignment="1" applyProtection="1">
      <alignment horizontal="center" vertical="center" wrapText="1"/>
      <protection locked="0" hidden="1"/>
    </xf>
    <xf numFmtId="2" fontId="63" fillId="37" borderId="0" xfId="0" applyNumberFormat="1" applyFont="1" applyFill="1" applyBorder="1" applyAlignment="1">
      <alignment horizontal="center" vertical="center"/>
    </xf>
    <xf numFmtId="2" fontId="65" fillId="28" borderId="0" xfId="44" applyNumberFormat="1" applyFont="1" applyFill="1" applyBorder="1" applyAlignment="1" applyProtection="1">
      <alignment horizontal="center" vertical="center" wrapText="1"/>
    </xf>
    <xf numFmtId="2" fontId="64" fillId="28" borderId="0" xfId="0" applyNumberFormat="1" applyFont="1" applyFill="1" applyBorder="1" applyAlignment="1">
      <alignment horizontal="center" vertical="center"/>
    </xf>
    <xf numFmtId="2" fontId="61" fillId="32" borderId="0" xfId="0" applyNumberFormat="1" applyFont="1" applyFill="1" applyBorder="1" applyAlignment="1">
      <alignment horizontal="center" vertical="center"/>
    </xf>
    <xf numFmtId="2" fontId="44" fillId="27" borderId="11" xfId="0" applyNumberFormat="1" applyFont="1" applyFill="1" applyBorder="1" applyAlignment="1">
      <alignment horizontal="center" vertical="center"/>
    </xf>
    <xf numFmtId="1" fontId="50" fillId="31" borderId="0" xfId="0" applyNumberFormat="1" applyFont="1" applyFill="1" applyBorder="1" applyAlignment="1">
      <alignment horizontal="center" vertical="center" wrapText="1"/>
    </xf>
    <xf numFmtId="1" fontId="62" fillId="30" borderId="0" xfId="0" applyNumberFormat="1" applyFont="1" applyFill="1" applyBorder="1" applyAlignment="1">
      <alignment horizontal="center" vertical="center" wrapText="1"/>
    </xf>
    <xf numFmtId="2" fontId="6" fillId="24" borderId="0" xfId="0" applyNumberFormat="1" applyFont="1" applyFill="1" applyBorder="1" applyAlignment="1">
      <alignment horizontal="right" indent="1"/>
    </xf>
    <xf numFmtId="2" fontId="6" fillId="24" borderId="17" xfId="0" applyNumberFormat="1" applyFont="1" applyFill="1" applyBorder="1" applyAlignment="1">
      <alignment horizontal="right" indent="1"/>
    </xf>
    <xf numFmtId="2" fontId="47" fillId="30" borderId="0" xfId="0" applyNumberFormat="1" applyFont="1" applyFill="1" applyBorder="1" applyAlignment="1">
      <alignment horizontal="center" vertical="center"/>
    </xf>
    <xf numFmtId="0" fontId="30" fillId="0" borderId="0" xfId="37" applyFont="1" applyBorder="1" applyAlignment="1">
      <alignment horizontal="center"/>
    </xf>
    <xf numFmtId="0" fontId="34" fillId="0" borderId="12" xfId="37" applyFont="1" applyBorder="1" applyAlignment="1" applyProtection="1">
      <alignment horizontal="left" vertical="center"/>
      <protection hidden="1"/>
    </xf>
    <xf numFmtId="0" fontId="34" fillId="0" borderId="13" xfId="37" applyFont="1" applyBorder="1" applyAlignment="1" applyProtection="1">
      <alignment horizontal="left" vertical="center"/>
      <protection hidden="1"/>
    </xf>
    <xf numFmtId="0" fontId="34" fillId="0" borderId="14" xfId="37" applyFont="1" applyBorder="1" applyAlignment="1" applyProtection="1">
      <alignment horizontal="left" vertical="center"/>
      <protection hidden="1"/>
    </xf>
    <xf numFmtId="0" fontId="34" fillId="0" borderId="12" xfId="37" applyFont="1" applyBorder="1" applyAlignment="1" applyProtection="1">
      <alignment horizontal="left" vertical="center" wrapText="1"/>
      <protection hidden="1"/>
    </xf>
    <xf numFmtId="0" fontId="34" fillId="0" borderId="13" xfId="37" applyFont="1" applyBorder="1" applyAlignment="1" applyProtection="1">
      <alignment horizontal="left" vertical="center" wrapText="1"/>
      <protection hidden="1"/>
    </xf>
    <xf numFmtId="0" fontId="34" fillId="0" borderId="14" xfId="37" applyFont="1" applyBorder="1" applyAlignment="1" applyProtection="1">
      <alignment horizontal="left" vertical="center" wrapText="1"/>
      <protection hidden="1"/>
    </xf>
    <xf numFmtId="0" fontId="56" fillId="0" borderId="12" xfId="37" applyFont="1" applyBorder="1" applyAlignment="1" applyProtection="1">
      <alignment horizontal="right" vertical="center"/>
      <protection hidden="1"/>
    </xf>
    <xf numFmtId="0" fontId="56" fillId="0" borderId="13" xfId="37" applyFont="1" applyBorder="1" applyAlignment="1" applyProtection="1">
      <alignment horizontal="right" vertical="center"/>
      <protection hidden="1"/>
    </xf>
    <xf numFmtId="0" fontId="56" fillId="0" borderId="14" xfId="37" applyFont="1" applyBorder="1" applyAlignment="1" applyProtection="1">
      <alignment horizontal="right" vertical="center"/>
      <protection hidden="1"/>
    </xf>
    <xf numFmtId="0" fontId="31" fillId="0" borderId="12" xfId="37" applyFont="1" applyFill="1" applyBorder="1" applyAlignment="1" applyProtection="1">
      <alignment horizontal="left" vertical="top" wrapText="1"/>
      <protection hidden="1"/>
    </xf>
    <xf numFmtId="0" fontId="31" fillId="0" borderId="13" xfId="37" applyFont="1" applyFill="1" applyBorder="1" applyAlignment="1" applyProtection="1">
      <alignment horizontal="left" vertical="top" wrapText="1"/>
      <protection hidden="1"/>
    </xf>
    <xf numFmtId="0" fontId="31" fillId="0" borderId="14" xfId="37" applyFont="1" applyFill="1" applyBorder="1" applyAlignment="1" applyProtection="1">
      <alignment horizontal="left" vertical="top" wrapText="1"/>
      <protection hidden="1"/>
    </xf>
    <xf numFmtId="0" fontId="30" fillId="0" borderId="22" xfId="37" applyFont="1" applyBorder="1" applyAlignment="1" applyProtection="1">
      <alignment horizontal="center" vertical="top"/>
      <protection hidden="1"/>
    </xf>
    <xf numFmtId="0" fontId="30" fillId="0" borderId="10" xfId="37" applyFont="1" applyBorder="1" applyAlignment="1" applyProtection="1">
      <alignment horizontal="left" vertical="center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2" fontId="30" fillId="0" borderId="12" xfId="37" applyNumberFormat="1" applyFont="1" applyBorder="1" applyAlignment="1" applyProtection="1">
      <alignment horizontal="center" vertical="center"/>
      <protection hidden="1"/>
    </xf>
    <xf numFmtId="2" fontId="30" fillId="0" borderId="13" xfId="37" applyNumberFormat="1" applyFont="1" applyBorder="1" applyAlignment="1" applyProtection="1">
      <alignment horizontal="center" vertical="center"/>
      <protection hidden="1"/>
    </xf>
    <xf numFmtId="2" fontId="30" fillId="0" borderId="14" xfId="37" applyNumberFormat="1" applyFont="1" applyBorder="1" applyAlignment="1" applyProtection="1">
      <alignment horizontal="center" vertical="center"/>
      <protection hidden="1"/>
    </xf>
    <xf numFmtId="0" fontId="30" fillId="0" borderId="12" xfId="37" applyFont="1" applyBorder="1" applyAlignment="1" applyProtection="1">
      <alignment horizontal="center" vertical="center"/>
      <protection hidden="1"/>
    </xf>
    <xf numFmtId="0" fontId="30" fillId="0" borderId="13" xfId="37" applyFont="1" applyBorder="1" applyAlignment="1" applyProtection="1">
      <alignment horizontal="center" vertical="center"/>
      <protection hidden="1"/>
    </xf>
    <xf numFmtId="0" fontId="30" fillId="0" borderId="14" xfId="37" applyFont="1" applyBorder="1" applyAlignment="1" applyProtection="1">
      <alignment horizontal="center" vertical="center"/>
      <protection hidden="1"/>
    </xf>
    <xf numFmtId="0" fontId="30" fillId="0" borderId="18" xfId="37" applyFont="1" applyBorder="1" applyAlignment="1" applyProtection="1">
      <alignment horizontal="left" vertical="center" wrapText="1"/>
      <protection hidden="1"/>
    </xf>
    <xf numFmtId="0" fontId="30" fillId="0" borderId="19" xfId="37" applyFont="1" applyBorder="1" applyAlignment="1" applyProtection="1">
      <alignment horizontal="left" vertical="center" wrapText="1"/>
      <protection hidden="1"/>
    </xf>
    <xf numFmtId="0" fontId="30" fillId="0" borderId="16" xfId="37" applyFont="1" applyBorder="1" applyAlignment="1" applyProtection="1">
      <alignment horizontal="left" vertical="center" wrapText="1"/>
      <protection hidden="1"/>
    </xf>
    <xf numFmtId="0" fontId="30" fillId="0" borderId="20" xfId="37" applyFont="1" applyBorder="1" applyAlignment="1" applyProtection="1">
      <alignment horizontal="left" vertical="center" wrapText="1"/>
      <protection hidden="1"/>
    </xf>
    <xf numFmtId="0" fontId="30" fillId="0" borderId="23" xfId="37" applyFont="1" applyBorder="1" applyAlignment="1" applyProtection="1">
      <alignment horizontal="center" vertical="top"/>
      <protection hidden="1"/>
    </xf>
    <xf numFmtId="0" fontId="30" fillId="0" borderId="24" xfId="37" applyFont="1" applyBorder="1" applyAlignment="1" applyProtection="1">
      <alignment horizontal="center" vertical="top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0" fontId="25" fillId="0" borderId="10" xfId="37" applyFont="1" applyBorder="1" applyAlignment="1" applyProtection="1">
      <alignment horizontal="left" vertical="top" wrapText="1"/>
      <protection hidden="1"/>
    </xf>
    <xf numFmtId="0" fontId="31" fillId="0" borderId="12" xfId="37" applyFont="1" applyBorder="1" applyAlignment="1" applyProtection="1">
      <alignment horizontal="left" vertical="top" wrapText="1"/>
      <protection hidden="1"/>
    </xf>
    <xf numFmtId="0" fontId="25" fillId="0" borderId="13" xfId="37" applyFont="1" applyBorder="1" applyAlignment="1" applyProtection="1">
      <alignment horizontal="left" vertical="top" wrapText="1"/>
      <protection hidden="1"/>
    </xf>
    <xf numFmtId="0" fontId="25" fillId="0" borderId="14" xfId="37" applyFont="1" applyBorder="1" applyAlignment="1" applyProtection="1">
      <alignment horizontal="left" vertical="top" wrapText="1"/>
      <protection hidden="1"/>
    </xf>
    <xf numFmtId="0" fontId="25" fillId="0" borderId="13" xfId="37" applyFont="1" applyFill="1" applyBorder="1" applyAlignment="1" applyProtection="1">
      <alignment horizontal="left" vertical="top" wrapText="1"/>
      <protection hidden="1"/>
    </xf>
    <xf numFmtId="0" fontId="25" fillId="0" borderId="14" xfId="37" applyFont="1" applyFill="1" applyBorder="1" applyAlignment="1" applyProtection="1">
      <alignment horizontal="left" vertical="top" wrapText="1"/>
      <protection hidden="1"/>
    </xf>
    <xf numFmtId="0" fontId="53" fillId="0" borderId="12" xfId="37" applyFont="1" applyFill="1" applyBorder="1" applyAlignment="1" applyProtection="1">
      <alignment horizontal="left" vertical="top" wrapText="1"/>
      <protection hidden="1"/>
    </xf>
    <xf numFmtId="0" fontId="53" fillId="0" borderId="13" xfId="37" applyFont="1" applyFill="1" applyBorder="1" applyAlignment="1" applyProtection="1">
      <alignment horizontal="left" vertical="top" wrapText="1"/>
      <protection hidden="1"/>
    </xf>
    <xf numFmtId="0" fontId="53" fillId="0" borderId="14" xfId="37" applyFont="1" applyFill="1" applyBorder="1" applyAlignment="1" applyProtection="1">
      <alignment horizontal="left" vertical="top" wrapText="1"/>
      <protection hidden="1"/>
    </xf>
    <xf numFmtId="0" fontId="29" fillId="0" borderId="10" xfId="37" applyFont="1" applyBorder="1" applyAlignment="1" applyProtection="1">
      <alignment horizontal="left"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0" fontId="31" fillId="0" borderId="12" xfId="37" applyFont="1" applyBorder="1" applyAlignment="1" applyProtection="1">
      <alignment horizontal="center" vertical="center"/>
      <protection hidden="1"/>
    </xf>
    <xf numFmtId="0" fontId="31" fillId="0" borderId="13" xfId="37" applyFont="1" applyBorder="1" applyAlignment="1" applyProtection="1">
      <alignment horizontal="center" vertical="center"/>
      <protection hidden="1"/>
    </xf>
    <xf numFmtId="0" fontId="31" fillId="0" borderId="14" xfId="37" applyFont="1" applyBorder="1" applyAlignment="1" applyProtection="1">
      <alignment horizontal="center" vertical="center"/>
      <protection hidden="1"/>
    </xf>
    <xf numFmtId="0" fontId="40" fillId="0" borderId="0" xfId="37" applyFont="1" applyFill="1" applyAlignment="1">
      <alignment horizontal="center"/>
    </xf>
    <xf numFmtId="2" fontId="30" fillId="0" borderId="10" xfId="37" applyNumberFormat="1" applyFont="1" applyBorder="1" applyAlignment="1" applyProtection="1">
      <alignment horizontal="center" vertical="center"/>
      <protection hidden="1"/>
    </xf>
    <xf numFmtId="0" fontId="25" fillId="0" borderId="10" xfId="37" applyFont="1" applyBorder="1" applyAlignment="1" applyProtection="1">
      <alignment horizontal="center" vertical="center"/>
      <protection hidden="1"/>
    </xf>
    <xf numFmtId="0" fontId="25" fillId="0" borderId="21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top" wrapText="1"/>
      <protection hidden="1"/>
    </xf>
    <xf numFmtId="0" fontId="36" fillId="0" borderId="13" xfId="37" applyFont="1" applyBorder="1" applyAlignment="1" applyProtection="1">
      <alignment horizontal="center" vertical="top" wrapText="1"/>
      <protection hidden="1"/>
    </xf>
    <xf numFmtId="0" fontId="36" fillId="0" borderId="14" xfId="37" applyFont="1" applyBorder="1" applyAlignment="1" applyProtection="1">
      <alignment horizontal="center" vertical="top" wrapText="1"/>
      <protection hidden="1"/>
    </xf>
    <xf numFmtId="0" fontId="30" fillId="0" borderId="12" xfId="37" applyFont="1" applyBorder="1" applyAlignment="1" applyProtection="1">
      <alignment horizontal="right" vertical="center"/>
      <protection hidden="1"/>
    </xf>
    <xf numFmtId="0" fontId="30" fillId="0" borderId="13" xfId="37" applyFont="1" applyBorder="1" applyAlignment="1" applyProtection="1">
      <alignment horizontal="right" vertical="center"/>
      <protection hidden="1"/>
    </xf>
    <xf numFmtId="0" fontId="30" fillId="0" borderId="14" xfId="37" applyFont="1" applyBorder="1" applyAlignment="1" applyProtection="1">
      <alignment horizontal="right"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21" xfId="37" applyFont="1" applyBorder="1" applyAlignment="1" applyProtection="1">
      <alignment horizontal="left" vertical="center"/>
      <protection hidden="1"/>
    </xf>
    <xf numFmtId="0" fontId="29" fillId="0" borderId="12" xfId="37" applyFont="1" applyBorder="1" applyAlignment="1" applyProtection="1">
      <alignment horizontal="right" vertical="center"/>
      <protection hidden="1"/>
    </xf>
    <xf numFmtId="0" fontId="29" fillId="0" borderId="13" xfId="37" applyFont="1" applyBorder="1" applyAlignment="1" applyProtection="1">
      <alignment horizontal="right" vertical="center"/>
      <protection hidden="1"/>
    </xf>
    <xf numFmtId="0" fontId="29" fillId="0" borderId="14" xfId="37" applyFont="1" applyBorder="1" applyAlignment="1" applyProtection="1">
      <alignment horizontal="right" vertical="center"/>
      <protection hidden="1"/>
    </xf>
    <xf numFmtId="0" fontId="54" fillId="0" borderId="10" xfId="37" applyFont="1" applyFill="1" applyBorder="1" applyAlignment="1" applyProtection="1">
      <alignment horizontal="left" vertical="top" wrapText="1"/>
      <protection hidden="1"/>
    </xf>
    <xf numFmtId="0" fontId="38" fillId="0" borderId="0" xfId="37" applyFont="1" applyAlignment="1" applyProtection="1">
      <alignment horizontal="center" vertical="center"/>
      <protection hidden="1"/>
    </xf>
    <xf numFmtId="0" fontId="58" fillId="0" borderId="0" xfId="37" applyFont="1" applyBorder="1" applyAlignment="1" applyProtection="1">
      <alignment horizontal="center" vertical="center"/>
      <protection hidden="1"/>
    </xf>
    <xf numFmtId="0" fontId="30" fillId="0" borderId="31" xfId="37" applyFont="1" applyBorder="1" applyAlignment="1" applyProtection="1">
      <alignment horizontal="left" vertical="center"/>
      <protection hidden="1"/>
    </xf>
    <xf numFmtId="0" fontId="30" fillId="0" borderId="32" xfId="37" applyFont="1" applyBorder="1" applyAlignment="1" applyProtection="1">
      <alignment horizontal="left" vertical="center"/>
      <protection hidden="1"/>
    </xf>
    <xf numFmtId="0" fontId="28" fillId="0" borderId="33" xfId="37" applyFont="1" applyFill="1" applyBorder="1" applyAlignment="1" applyProtection="1">
      <alignment horizontal="center" vertical="center"/>
      <protection hidden="1"/>
    </xf>
    <xf numFmtId="0" fontId="28" fillId="0" borderId="34" xfId="37" applyFont="1" applyFill="1" applyBorder="1" applyAlignment="1" applyProtection="1">
      <alignment horizontal="center" vertical="center"/>
      <protection hidden="1"/>
    </xf>
    <xf numFmtId="0" fontId="30" fillId="0" borderId="15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26" fillId="0" borderId="12" xfId="37" applyFont="1" applyBorder="1" applyAlignment="1" applyProtection="1">
      <alignment horizontal="left" vertical="center"/>
      <protection hidden="1"/>
    </xf>
    <xf numFmtId="0" fontId="34" fillId="0" borderId="32" xfId="38" applyFont="1" applyFill="1" applyBorder="1" applyAlignment="1" applyProtection="1">
      <alignment horizontal="left" vertical="center"/>
      <protection hidden="1"/>
    </xf>
    <xf numFmtId="0" fontId="34" fillId="0" borderId="32" xfId="37" applyFont="1" applyFill="1" applyBorder="1" applyAlignment="1" applyProtection="1">
      <alignment horizontal="center" vertical="center"/>
      <protection hidden="1"/>
    </xf>
    <xf numFmtId="0" fontId="30" fillId="0" borderId="25" xfId="37" applyFont="1" applyBorder="1" applyAlignment="1" applyProtection="1">
      <alignment horizontal="center" vertical="top"/>
      <protection hidden="1"/>
    </xf>
    <xf numFmtId="0" fontId="30" fillId="0" borderId="12" xfId="37" applyFont="1" applyBorder="1" applyAlignment="1" applyProtection="1">
      <alignment horizontal="left" vertical="center"/>
      <protection hidden="1"/>
    </xf>
    <xf numFmtId="0" fontId="30" fillId="0" borderId="13" xfId="37" applyFont="1" applyBorder="1" applyAlignment="1" applyProtection="1">
      <alignment horizontal="left" vertical="center"/>
      <protection hidden="1"/>
    </xf>
    <xf numFmtId="0" fontId="30" fillId="0" borderId="14" xfId="37" applyFont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17" xfId="37" applyFont="1" applyBorder="1" applyAlignment="1" applyProtection="1">
      <alignment horizontal="center" vertical="center"/>
      <protection hidden="1"/>
    </xf>
    <xf numFmtId="0" fontId="1" fillId="0" borderId="35" xfId="37" applyFont="1" applyBorder="1" applyAlignment="1" applyProtection="1">
      <alignment horizontal="center" vertical="center"/>
      <protection hidden="1"/>
    </xf>
    <xf numFmtId="0" fontId="1" fillId="0" borderId="0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11" xfId="37" applyFont="1" applyBorder="1" applyAlignment="1" applyProtection="1">
      <alignment horizontal="center" vertical="center"/>
      <protection hidden="1"/>
    </xf>
    <xf numFmtId="0" fontId="54" fillId="0" borderId="10" xfId="37" applyFont="1" applyBorder="1" applyAlignment="1" applyProtection="1">
      <alignment horizontal="left" vertical="top" wrapText="1"/>
      <protection hidden="1"/>
    </xf>
    <xf numFmtId="0" fontId="30" fillId="0" borderId="10" xfId="37" applyFont="1" applyBorder="1" applyAlignment="1" applyProtection="1">
      <alignment horizontal="right" vertical="center"/>
      <protection hidden="1"/>
    </xf>
    <xf numFmtId="0" fontId="34" fillId="0" borderId="10" xfId="37" applyFont="1" applyBorder="1" applyAlignment="1" applyProtection="1">
      <alignment horizontal="left" vertical="center"/>
      <protection hidden="1"/>
    </xf>
    <xf numFmtId="0" fontId="34" fillId="0" borderId="21" xfId="37" applyFont="1" applyBorder="1" applyAlignment="1" applyProtection="1">
      <alignment horizontal="left" vertical="center"/>
      <protection hidden="1"/>
    </xf>
    <xf numFmtId="0" fontId="31" fillId="0" borderId="13" xfId="37" applyFont="1" applyBorder="1" applyAlignment="1" applyProtection="1">
      <alignment horizontal="left" vertical="top" wrapText="1"/>
      <protection hidden="1"/>
    </xf>
    <xf numFmtId="0" fontId="31" fillId="0" borderId="14" xfId="37" applyFont="1" applyBorder="1" applyAlignment="1" applyProtection="1">
      <alignment horizontal="left" vertical="top" wrapText="1"/>
      <protection hidden="1"/>
    </xf>
    <xf numFmtId="0" fontId="31" fillId="0" borderId="10" xfId="37" applyFont="1" applyBorder="1" applyAlignment="1" applyProtection="1">
      <alignment horizontal="left" vertical="center" wrapText="1"/>
      <protection hidden="1"/>
    </xf>
    <xf numFmtId="0" fontId="31" fillId="0" borderId="12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 wrapText="1"/>
      <protection hidden="1"/>
    </xf>
    <xf numFmtId="0" fontId="31" fillId="0" borderId="14" xfId="37" applyFont="1" applyBorder="1" applyAlignment="1" applyProtection="1">
      <alignment horizontal="left" vertical="center" wrapText="1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center" vertical="center" wrapText="1"/>
      <protection hidden="1"/>
    </xf>
    <xf numFmtId="2" fontId="30" fillId="0" borderId="12" xfId="37" applyNumberFormat="1" applyFont="1" applyBorder="1" applyAlignment="1" applyProtection="1">
      <alignment horizontal="right" vertical="center" wrapText="1"/>
      <protection hidden="1"/>
    </xf>
    <xf numFmtId="2" fontId="30" fillId="0" borderId="26" xfId="37" applyNumberFormat="1" applyFont="1" applyBorder="1" applyAlignment="1" applyProtection="1">
      <alignment horizontal="right" vertical="center" wrapText="1"/>
      <protection hidden="1"/>
    </xf>
    <xf numFmtId="0" fontId="27" fillId="0" borderId="27" xfId="37" applyFont="1" applyBorder="1" applyAlignment="1" applyProtection="1">
      <alignment horizontal="right" vertical="center"/>
      <protection hidden="1"/>
    </xf>
    <xf numFmtId="0" fontId="27" fillId="0" borderId="28" xfId="37" applyFont="1" applyBorder="1" applyAlignment="1" applyProtection="1">
      <alignment horizontal="right" vertical="center"/>
      <protection hidden="1"/>
    </xf>
    <xf numFmtId="0" fontId="57" fillId="0" borderId="10" xfId="37" applyFont="1" applyBorder="1" applyAlignment="1" applyProtection="1">
      <alignment horizontal="center" vertical="center" wrapText="1"/>
      <protection hidden="1"/>
    </xf>
    <xf numFmtId="0" fontId="29" fillId="0" borderId="12" xfId="37" applyFont="1" applyBorder="1" applyAlignment="1" applyProtection="1">
      <alignment horizontal="center" vertical="center" wrapText="1"/>
      <protection hidden="1"/>
    </xf>
    <xf numFmtId="0" fontId="29" fillId="0" borderId="14" xfId="37" applyFont="1" applyBorder="1" applyAlignment="1" applyProtection="1">
      <alignment horizontal="center" vertical="center" wrapText="1"/>
      <protection hidden="1"/>
    </xf>
    <xf numFmtId="0" fontId="29" fillId="0" borderId="18" xfId="37" applyFont="1" applyBorder="1" applyAlignment="1" applyProtection="1">
      <alignment horizontal="center" wrapText="1"/>
      <protection hidden="1"/>
    </xf>
    <xf numFmtId="0" fontId="29" fillId="0" borderId="17" xfId="37" applyFont="1" applyBorder="1" applyAlignment="1" applyProtection="1">
      <alignment horizontal="center" wrapText="1"/>
      <protection hidden="1"/>
    </xf>
    <xf numFmtId="0" fontId="29" fillId="0" borderId="19" xfId="37" applyFont="1" applyBorder="1" applyAlignment="1" applyProtection="1">
      <alignment horizontal="center" wrapText="1"/>
      <protection hidden="1"/>
    </xf>
    <xf numFmtId="0" fontId="29" fillId="0" borderId="16" xfId="37" applyFont="1" applyBorder="1" applyAlignment="1" applyProtection="1">
      <alignment horizontal="center" wrapText="1"/>
      <protection hidden="1"/>
    </xf>
    <xf numFmtId="0" fontId="29" fillId="0" borderId="11" xfId="37" applyFont="1" applyBorder="1" applyAlignment="1" applyProtection="1">
      <alignment horizontal="center" wrapText="1"/>
      <protection hidden="1"/>
    </xf>
    <xf numFmtId="0" fontId="29" fillId="0" borderId="20" xfId="37" applyFont="1" applyBorder="1" applyAlignment="1" applyProtection="1">
      <alignment horizontal="center" wrapText="1"/>
      <protection hidden="1"/>
    </xf>
    <xf numFmtId="0" fontId="35" fillId="0" borderId="0" xfId="37" applyFont="1" applyFill="1" applyBorder="1" applyAlignment="1">
      <alignment horizontal="center" vertical="center" wrapText="1"/>
    </xf>
    <xf numFmtId="2" fontId="29" fillId="0" borderId="12" xfId="0" applyNumberFormat="1" applyFont="1" applyBorder="1" applyAlignment="1" applyProtection="1">
      <alignment horizontal="left" vertical="center"/>
      <protection hidden="1"/>
    </xf>
    <xf numFmtId="2" fontId="29" fillId="0" borderId="13" xfId="0" applyNumberFormat="1" applyFont="1" applyBorder="1" applyAlignment="1" applyProtection="1">
      <alignment horizontal="left" vertical="center"/>
      <protection hidden="1"/>
    </xf>
    <xf numFmtId="2" fontId="29" fillId="0" borderId="14" xfId="0" applyNumberFormat="1" applyFont="1" applyBorder="1" applyAlignment="1" applyProtection="1">
      <alignment horizontal="left" vertical="center"/>
      <protection hidden="1"/>
    </xf>
    <xf numFmtId="2" fontId="29" fillId="0" borderId="10" xfId="0" applyNumberFormat="1" applyFont="1" applyBorder="1" applyAlignment="1" applyProtection="1">
      <alignment horizontal="left" vertical="center"/>
      <protection hidden="1"/>
    </xf>
    <xf numFmtId="2" fontId="29" fillId="0" borderId="12" xfId="0" applyNumberFormat="1" applyFont="1" applyBorder="1" applyAlignment="1" applyProtection="1">
      <alignment horizontal="right" vertical="center"/>
      <protection hidden="1"/>
    </xf>
    <xf numFmtId="2" fontId="29" fillId="0" borderId="13" xfId="0" applyNumberFormat="1" applyFont="1" applyBorder="1" applyAlignment="1" applyProtection="1">
      <alignment horizontal="right" vertical="center"/>
      <protection hidden="1"/>
    </xf>
    <xf numFmtId="2" fontId="29" fillId="0" borderId="14" xfId="0" applyNumberFormat="1" applyFont="1" applyBorder="1" applyAlignment="1" applyProtection="1">
      <alignment horizontal="right" vertical="center"/>
      <protection hidden="1"/>
    </xf>
    <xf numFmtId="0" fontId="30" fillId="0" borderId="21" xfId="37" applyFont="1" applyBorder="1" applyAlignment="1" applyProtection="1">
      <alignment horizontal="left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60" fillId="0" borderId="0" xfId="37" applyFont="1" applyFill="1" applyAlignment="1">
      <alignment horizontal="center" vertical="top" wrapText="1"/>
    </xf>
    <xf numFmtId="0" fontId="29" fillId="0" borderId="26" xfId="37" applyFont="1" applyBorder="1" applyAlignment="1" applyProtection="1">
      <alignment horizontal="center" vertical="center" wrapText="1"/>
      <protection hidden="1"/>
    </xf>
    <xf numFmtId="9" fontId="31" fillId="0" borderId="12" xfId="37" applyNumberFormat="1" applyFont="1" applyBorder="1" applyAlignment="1" applyProtection="1">
      <alignment horizontal="center" vertical="center"/>
      <protection hidden="1"/>
    </xf>
    <xf numFmtId="9" fontId="31" fillId="0" borderId="14" xfId="37" applyNumberFormat="1" applyFont="1" applyBorder="1" applyAlignment="1" applyProtection="1">
      <alignment horizontal="center" vertical="center"/>
      <protection hidden="1"/>
    </xf>
    <xf numFmtId="2" fontId="30" fillId="0" borderId="12" xfId="0" applyNumberFormat="1" applyFont="1" applyBorder="1" applyAlignment="1" applyProtection="1">
      <alignment horizontal="left" vertical="center" wrapText="1"/>
      <protection hidden="1"/>
    </xf>
    <xf numFmtId="2" fontId="30" fillId="0" borderId="13" xfId="0" applyNumberFormat="1" applyFont="1" applyBorder="1" applyAlignment="1" applyProtection="1">
      <alignment horizontal="left" vertical="center" wrapText="1"/>
      <protection hidden="1"/>
    </xf>
    <xf numFmtId="2" fontId="30" fillId="0" borderId="14" xfId="0" applyNumberFormat="1" applyFont="1" applyBorder="1" applyAlignment="1" applyProtection="1">
      <alignment horizontal="left" vertical="center" wrapText="1"/>
      <protection hidden="1"/>
    </xf>
    <xf numFmtId="2" fontId="30" fillId="0" borderId="10" xfId="0" applyNumberFormat="1" applyFont="1" applyBorder="1" applyAlignment="1" applyProtection="1">
      <alignment horizontal="left" vertical="center"/>
      <protection hidden="1"/>
    </xf>
    <xf numFmtId="2" fontId="30" fillId="0" borderId="12" xfId="0" applyNumberFormat="1" applyFont="1" applyBorder="1" applyAlignment="1" applyProtection="1">
      <alignment horizontal="left" vertical="center"/>
      <protection hidden="1"/>
    </xf>
    <xf numFmtId="2" fontId="30" fillId="0" borderId="13" xfId="0" applyNumberFormat="1" applyFont="1" applyBorder="1" applyAlignment="1" applyProtection="1">
      <alignment horizontal="left" vertical="center"/>
      <protection hidden="1"/>
    </xf>
    <xf numFmtId="2" fontId="30" fillId="0" borderId="14" xfId="0" applyNumberFormat="1" applyFont="1" applyBorder="1" applyAlignment="1" applyProtection="1">
      <alignment horizontal="left" vertical="center"/>
      <protection hidden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5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0000FF"/>
      <color rgb="FF33CCCC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313766</xdr:colOff>
      <xdr:row>29</xdr:row>
      <xdr:rowOff>134470</xdr:rowOff>
    </xdr:from>
    <xdr:to>
      <xdr:col>17</xdr:col>
      <xdr:colOff>63789</xdr:colOff>
      <xdr:row>34</xdr:row>
      <xdr:rowOff>89646</xdr:rowOff>
    </xdr:to>
    <xdr:pic>
      <xdr:nvPicPr>
        <xdr:cNvPr id="11" name="Picture 10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1" y="9939617"/>
          <a:ext cx="3023822" cy="739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G998"/>
  <sheetViews>
    <sheetView showGridLines="0" tabSelected="1" workbookViewId="0">
      <selection activeCell="P28" sqref="P28"/>
    </sheetView>
  </sheetViews>
  <sheetFormatPr defaultColWidth="0" defaultRowHeight="12.75" zeroHeight="1"/>
  <cols>
    <col min="1" max="1" width="1" style="23" customWidth="1" collapsed="1"/>
    <col min="2" max="2" width="11.7109375" style="6" hidden="1" customWidth="1" collapsed="1"/>
    <col min="3" max="3" width="14.5703125" style="6" customWidth="1" collapsed="1"/>
    <col min="4" max="4" width="9.42578125" style="6" customWidth="1" collapsed="1"/>
    <col min="5" max="7" width="5" style="6" customWidth="1" collapsed="1"/>
    <col min="8" max="8" width="8.85546875" style="6" customWidth="1" collapsed="1"/>
    <col min="9" max="9" width="9.42578125" style="6" customWidth="1" collapsed="1"/>
    <col min="10" max="10" width="5" style="6" customWidth="1" collapsed="1"/>
    <col min="11" max="13" width="6" style="6" customWidth="1" collapsed="1"/>
    <col min="14" max="14" width="11" style="6" customWidth="1" collapsed="1"/>
    <col min="15" max="15" width="8.7109375" style="6" customWidth="1" collapsed="1"/>
    <col min="16" max="16" width="8.7109375" style="6" customWidth="1"/>
    <col min="17" max="17" width="8.5703125" style="6" customWidth="1" collapsed="1"/>
    <col min="18" max="18" width="8.85546875" style="6" customWidth="1" collapsed="1"/>
    <col min="19" max="19" width="8.28515625" style="6" customWidth="1" collapsed="1"/>
    <col min="20" max="20" width="6.7109375" style="6" bestFit="1" customWidth="1" collapsed="1"/>
    <col min="21" max="22" width="6" style="6" customWidth="1" collapsed="1"/>
    <col min="23" max="23" width="8.42578125" style="6" customWidth="1" collapsed="1"/>
    <col min="24" max="24" width="6" style="6" customWidth="1" collapsed="1"/>
    <col min="25" max="25" width="10.5703125" style="6" customWidth="1" collapsed="1"/>
    <col min="26" max="26" width="12.42578125" style="6" customWidth="1" collapsed="1"/>
    <col min="27" max="27" width="15.5703125" style="6" customWidth="1" collapsed="1"/>
    <col min="28" max="28" width="15" style="6" hidden="1" customWidth="1"/>
    <col min="29" max="33" width="0" style="6" hidden="1" customWidth="1"/>
    <col min="34" max="16384" width="9.140625" style="6" hidden="1" collapsed="1"/>
  </cols>
  <sheetData>
    <row r="1" spans="1:29" ht="29.25" customHeight="1" thickBot="1">
      <c r="C1" s="141" t="s">
        <v>178</v>
      </c>
      <c r="D1" s="141"/>
      <c r="E1" s="142" t="s">
        <v>37</v>
      </c>
      <c r="F1" s="142"/>
      <c r="G1" s="142"/>
      <c r="H1" s="87"/>
      <c r="I1" s="143" t="s">
        <v>179</v>
      </c>
      <c r="J1" s="143"/>
      <c r="K1" s="143"/>
      <c r="L1" s="143"/>
      <c r="M1" s="143"/>
      <c r="N1" s="143"/>
      <c r="O1" s="142" t="s">
        <v>46</v>
      </c>
      <c r="P1" s="142"/>
      <c r="Q1" s="142"/>
      <c r="R1" s="147" t="s">
        <v>187</v>
      </c>
      <c r="S1" s="148"/>
      <c r="T1" s="148"/>
      <c r="U1" s="148"/>
      <c r="V1" s="149">
        <v>41500</v>
      </c>
      <c r="W1" s="150"/>
      <c r="X1" s="138" t="s">
        <v>180</v>
      </c>
      <c r="Y1" s="139"/>
      <c r="Z1" s="139"/>
      <c r="AA1" s="140"/>
    </row>
    <row r="2" spans="1:29" ht="48" customHeight="1">
      <c r="C2" s="126" t="s">
        <v>166</v>
      </c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8"/>
      <c r="AB2" s="86" t="s">
        <v>46</v>
      </c>
      <c r="AC2" s="85" t="s">
        <v>46</v>
      </c>
    </row>
    <row r="3" spans="1:29" ht="48" customHeight="1">
      <c r="C3" s="144" t="s">
        <v>188</v>
      </c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6"/>
      <c r="AB3" s="86" t="s">
        <v>37</v>
      </c>
      <c r="AC3" s="85" t="s">
        <v>37</v>
      </c>
    </row>
    <row r="4" spans="1:29" ht="27" customHeight="1">
      <c r="C4" s="129" t="s">
        <v>167</v>
      </c>
      <c r="D4" s="130"/>
      <c r="E4" s="136" t="s">
        <v>185</v>
      </c>
      <c r="F4" s="136"/>
      <c r="G4" s="136"/>
      <c r="H4" s="136"/>
      <c r="I4" s="136"/>
      <c r="J4" s="136"/>
      <c r="K4" s="135" t="s">
        <v>48</v>
      </c>
      <c r="L4" s="135"/>
      <c r="M4" s="135"/>
      <c r="N4" s="136" t="s">
        <v>181</v>
      </c>
      <c r="O4" s="136"/>
      <c r="P4" s="136"/>
      <c r="Q4" s="136"/>
      <c r="R4" s="136"/>
      <c r="S4" s="136"/>
      <c r="T4" s="136"/>
      <c r="U4" s="136" t="s">
        <v>173</v>
      </c>
      <c r="V4" s="136"/>
      <c r="W4" s="136"/>
      <c r="X4" s="136">
        <v>123456789</v>
      </c>
      <c r="Y4" s="136"/>
      <c r="Z4" s="94" t="s">
        <v>170</v>
      </c>
      <c r="AA4" s="95" t="s">
        <v>183</v>
      </c>
    </row>
    <row r="5" spans="1:29" s="16" customFormat="1" ht="20.45" customHeight="1">
      <c r="A5" s="26"/>
      <c r="C5" s="129" t="s">
        <v>168</v>
      </c>
      <c r="D5" s="130"/>
      <c r="E5" s="137">
        <v>21719</v>
      </c>
      <c r="F5" s="137"/>
      <c r="G5" s="137"/>
      <c r="H5" s="137"/>
      <c r="I5" s="137"/>
      <c r="J5" s="137"/>
      <c r="K5" s="135" t="s">
        <v>169</v>
      </c>
      <c r="L5" s="135"/>
      <c r="M5" s="135"/>
      <c r="N5" s="136" t="s">
        <v>182</v>
      </c>
      <c r="O5" s="136"/>
      <c r="P5" s="136"/>
      <c r="Q5" s="136"/>
      <c r="R5" s="136"/>
      <c r="S5" s="136"/>
      <c r="T5" s="136"/>
      <c r="U5" s="137" t="s">
        <v>172</v>
      </c>
      <c r="V5" s="137"/>
      <c r="W5" s="137"/>
      <c r="X5" s="136">
        <v>1245678</v>
      </c>
      <c r="Y5" s="136"/>
      <c r="Z5" s="96" t="s">
        <v>171</v>
      </c>
      <c r="AA5" s="97" t="s">
        <v>183</v>
      </c>
    </row>
    <row r="6" spans="1:29" s="16" customFormat="1" ht="22.5" customHeight="1">
      <c r="A6" s="26"/>
      <c r="C6" s="131" t="s">
        <v>50</v>
      </c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 t="s">
        <v>51</v>
      </c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3" t="s">
        <v>55</v>
      </c>
      <c r="AA6" s="134" t="s">
        <v>44</v>
      </c>
    </row>
    <row r="7" spans="1:29" s="13" customFormat="1" ht="108.75" customHeight="1">
      <c r="A7" s="27"/>
      <c r="C7" s="82" t="s">
        <v>7</v>
      </c>
      <c r="D7" s="79" t="s">
        <v>1</v>
      </c>
      <c r="E7" s="79" t="s">
        <v>2</v>
      </c>
      <c r="F7" s="79" t="s">
        <v>29</v>
      </c>
      <c r="G7" s="79" t="s">
        <v>14</v>
      </c>
      <c r="H7" s="79" t="s">
        <v>15</v>
      </c>
      <c r="I7" s="79" t="s">
        <v>39</v>
      </c>
      <c r="J7" s="79" t="s">
        <v>33</v>
      </c>
      <c r="K7" s="79" t="s">
        <v>49</v>
      </c>
      <c r="L7" s="79" t="s">
        <v>53</v>
      </c>
      <c r="M7" s="79" t="s">
        <v>38</v>
      </c>
      <c r="N7" s="83" t="s">
        <v>32</v>
      </c>
      <c r="O7" s="79" t="str">
        <f>IF(O1="No","GPF","NPS")</f>
        <v>NPS</v>
      </c>
      <c r="P7" s="79"/>
      <c r="Q7" s="79" t="s">
        <v>52</v>
      </c>
      <c r="R7" s="79" t="s">
        <v>174</v>
      </c>
      <c r="S7" s="79" t="s">
        <v>5</v>
      </c>
      <c r="T7" s="79" t="s">
        <v>36</v>
      </c>
      <c r="U7" s="79" t="s">
        <v>177</v>
      </c>
      <c r="V7" s="79" t="s">
        <v>54</v>
      </c>
      <c r="W7" s="79" t="s">
        <v>28</v>
      </c>
      <c r="X7" s="79" t="s">
        <v>54</v>
      </c>
      <c r="Y7" s="79" t="s">
        <v>31</v>
      </c>
      <c r="Z7" s="133"/>
      <c r="AA7" s="134"/>
    </row>
    <row r="8" spans="1:29" s="14" customFormat="1" ht="18.95" customHeight="1">
      <c r="A8" s="28"/>
      <c r="B8" s="14">
        <v>3</v>
      </c>
      <c r="C8" s="46">
        <v>44986</v>
      </c>
      <c r="D8" s="80">
        <f>V1</f>
        <v>41500</v>
      </c>
      <c r="E8" s="19">
        <v>0</v>
      </c>
      <c r="F8" s="19">
        <v>0</v>
      </c>
      <c r="G8" s="19">
        <v>0</v>
      </c>
      <c r="H8" s="19">
        <f>ROUND(34%*D8,0)</f>
        <v>14110</v>
      </c>
      <c r="I8" s="55">
        <v>456</v>
      </c>
      <c r="J8" s="19">
        <v>0</v>
      </c>
      <c r="K8" s="19">
        <v>0</v>
      </c>
      <c r="L8" s="19">
        <v>0</v>
      </c>
      <c r="M8" s="19">
        <v>0</v>
      </c>
      <c r="N8" s="20">
        <f>SUM(D8:M8)</f>
        <v>56066</v>
      </c>
      <c r="O8" s="19">
        <f>IF($O$1="Yes",ROUND((D8+H8)*0.1,0),IF($O$1="No",D8*6%))</f>
        <v>5561</v>
      </c>
      <c r="P8" s="19">
        <f>IF($O$1="Yes",ROUND((D8+H8)*0.14,0),0)</f>
        <v>7785</v>
      </c>
      <c r="Q8" s="19">
        <v>87</v>
      </c>
      <c r="R8" s="19">
        <v>208</v>
      </c>
      <c r="S8" s="19">
        <v>0</v>
      </c>
      <c r="T8" s="19">
        <v>200</v>
      </c>
      <c r="U8" s="19"/>
      <c r="V8" s="19"/>
      <c r="W8" s="19">
        <v>1000</v>
      </c>
      <c r="X8" s="81"/>
      <c r="Y8" s="21">
        <f t="shared" ref="Y8:Y27" si="0">SUM(O8:X8)</f>
        <v>14841</v>
      </c>
      <c r="Z8" s="22">
        <f t="shared" ref="Z8:Z27" si="1">N8-Y8</f>
        <v>41225</v>
      </c>
      <c r="AA8" s="47"/>
    </row>
    <row r="9" spans="1:29" s="14" customFormat="1" ht="18.95" customHeight="1">
      <c r="A9" s="28"/>
      <c r="B9" s="14">
        <v>4</v>
      </c>
      <c r="C9" s="46">
        <v>45017</v>
      </c>
      <c r="D9" s="19">
        <f>D8</f>
        <v>41500</v>
      </c>
      <c r="E9" s="19">
        <f>IF(E$8=0,0,ROUND(D9/2,0))</f>
        <v>0</v>
      </c>
      <c r="F9" s="19">
        <f t="shared" ref="F9:G14" si="2">IF(F$8=0,0,F8)</f>
        <v>0</v>
      </c>
      <c r="G9" s="19">
        <f t="shared" si="2"/>
        <v>0</v>
      </c>
      <c r="H9" s="19">
        <f>ROUND(38%*D9,0)</f>
        <v>15770</v>
      </c>
      <c r="I9" s="55">
        <f>I8</f>
        <v>456</v>
      </c>
      <c r="J9" s="19">
        <f t="shared" ref="J9:J19" si="3">IF(J$8=0,0,J8)</f>
        <v>0</v>
      </c>
      <c r="K9" s="19">
        <f t="shared" ref="K9:L19" si="4">IF(K$8=0,0,K8)</f>
        <v>0</v>
      </c>
      <c r="L9" s="19">
        <f t="shared" si="4"/>
        <v>0</v>
      </c>
      <c r="M9" s="19">
        <f t="shared" ref="M9:M19" si="5">IF(M$8=0,0,M8)</f>
        <v>0</v>
      </c>
      <c r="N9" s="20">
        <f t="shared" ref="N9:N27" si="6">SUM(D9:M9)</f>
        <v>57726</v>
      </c>
      <c r="O9" s="19">
        <f t="shared" ref="O9:O20" si="7">IF($O$1="Yes",ROUND((D9+H9)*0.1,0),IF($O$1="No",D9*6%))</f>
        <v>5727</v>
      </c>
      <c r="P9" s="19">
        <f t="shared" ref="P9:P20" si="8">IF($O$1="Yes",ROUND((D9+H9)*0.14,0),0)</f>
        <v>8018</v>
      </c>
      <c r="Q9" s="19">
        <f>Q8</f>
        <v>87</v>
      </c>
      <c r="R9" s="19">
        <f>R8</f>
        <v>208</v>
      </c>
      <c r="S9" s="19">
        <f>S8</f>
        <v>0</v>
      </c>
      <c r="T9" s="84">
        <f>T8</f>
        <v>200</v>
      </c>
      <c r="U9" s="19">
        <f t="shared" ref="U9:X19" si="9">U8</f>
        <v>0</v>
      </c>
      <c r="V9" s="19">
        <f t="shared" si="9"/>
        <v>0</v>
      </c>
      <c r="W9" s="19">
        <f>W8</f>
        <v>1000</v>
      </c>
      <c r="X9" s="19">
        <f t="shared" si="9"/>
        <v>0</v>
      </c>
      <c r="Y9" s="21">
        <f t="shared" si="0"/>
        <v>15240</v>
      </c>
      <c r="Z9" s="22">
        <f t="shared" si="1"/>
        <v>42486</v>
      </c>
      <c r="AA9" s="47"/>
    </row>
    <row r="10" spans="1:29" s="14" customFormat="1" ht="18.95" customHeight="1">
      <c r="A10" s="28"/>
      <c r="B10" s="14">
        <v>5</v>
      </c>
      <c r="C10" s="46">
        <v>45047</v>
      </c>
      <c r="D10" s="19">
        <f t="shared" ref="D10:D19" si="10">D9</f>
        <v>41500</v>
      </c>
      <c r="E10" s="19">
        <f t="shared" ref="E10:E19" si="11">IF($E$8=0,0,ROUND(D10/2,0))</f>
        <v>0</v>
      </c>
      <c r="F10" s="19">
        <f t="shared" si="2"/>
        <v>0</v>
      </c>
      <c r="G10" s="19">
        <f t="shared" si="2"/>
        <v>0</v>
      </c>
      <c r="H10" s="19">
        <f t="shared" ref="H10:H11" si="12">ROUND(38%*D10,0)</f>
        <v>15770</v>
      </c>
      <c r="I10" s="55">
        <f t="shared" ref="I10:I19" si="13">I9</f>
        <v>456</v>
      </c>
      <c r="J10" s="19">
        <f t="shared" si="3"/>
        <v>0</v>
      </c>
      <c r="K10" s="19">
        <f t="shared" ref="K10" si="14">IF(K$8=0,0,K9)</f>
        <v>0</v>
      </c>
      <c r="L10" s="19">
        <f>IF(L$8=0,0,L9)</f>
        <v>0</v>
      </c>
      <c r="M10" s="19">
        <f t="shared" si="5"/>
        <v>0</v>
      </c>
      <c r="N10" s="20">
        <f t="shared" si="6"/>
        <v>57726</v>
      </c>
      <c r="O10" s="19">
        <f t="shared" si="7"/>
        <v>5727</v>
      </c>
      <c r="P10" s="19">
        <f t="shared" si="8"/>
        <v>8018</v>
      </c>
      <c r="Q10" s="19">
        <f t="shared" ref="Q10:Q19" si="15">Q9</f>
        <v>87</v>
      </c>
      <c r="R10" s="19">
        <f t="shared" ref="R10:R18" si="16">R9</f>
        <v>208</v>
      </c>
      <c r="S10" s="19">
        <f t="shared" ref="S10:T19" si="17">S9</f>
        <v>0</v>
      </c>
      <c r="T10" s="84">
        <f t="shared" si="17"/>
        <v>200</v>
      </c>
      <c r="U10" s="19">
        <f t="shared" si="9"/>
        <v>0</v>
      </c>
      <c r="V10" s="19">
        <f t="shared" si="9"/>
        <v>0</v>
      </c>
      <c r="W10" s="19">
        <f t="shared" si="9"/>
        <v>1000</v>
      </c>
      <c r="X10" s="19">
        <f t="shared" ref="X10" si="18">X9</f>
        <v>0</v>
      </c>
      <c r="Y10" s="21">
        <f t="shared" si="0"/>
        <v>15240</v>
      </c>
      <c r="Z10" s="22">
        <f t="shared" si="1"/>
        <v>42486</v>
      </c>
      <c r="AA10" s="47"/>
    </row>
    <row r="11" spans="1:29" s="14" customFormat="1" ht="18.95" customHeight="1">
      <c r="A11" s="28"/>
      <c r="B11" s="14">
        <v>6</v>
      </c>
      <c r="C11" s="46">
        <v>45078</v>
      </c>
      <c r="D11" s="19">
        <f t="shared" si="10"/>
        <v>41500</v>
      </c>
      <c r="E11" s="19">
        <f t="shared" si="11"/>
        <v>0</v>
      </c>
      <c r="F11" s="19">
        <f t="shared" si="2"/>
        <v>0</v>
      </c>
      <c r="G11" s="19">
        <f t="shared" si="2"/>
        <v>0</v>
      </c>
      <c r="H11" s="19">
        <f t="shared" si="12"/>
        <v>15770</v>
      </c>
      <c r="I11" s="55">
        <f t="shared" si="13"/>
        <v>456</v>
      </c>
      <c r="J11" s="19">
        <f t="shared" si="3"/>
        <v>0</v>
      </c>
      <c r="K11" s="19">
        <f t="shared" si="4"/>
        <v>0</v>
      </c>
      <c r="L11" s="19">
        <f t="shared" si="4"/>
        <v>0</v>
      </c>
      <c r="M11" s="19">
        <f t="shared" si="5"/>
        <v>0</v>
      </c>
      <c r="N11" s="20">
        <f t="shared" si="6"/>
        <v>57726</v>
      </c>
      <c r="O11" s="19">
        <f t="shared" si="7"/>
        <v>5727</v>
      </c>
      <c r="P11" s="19">
        <f t="shared" si="8"/>
        <v>8018</v>
      </c>
      <c r="Q11" s="19">
        <f t="shared" si="15"/>
        <v>87</v>
      </c>
      <c r="R11" s="19">
        <f t="shared" si="16"/>
        <v>208</v>
      </c>
      <c r="S11" s="19">
        <f t="shared" si="17"/>
        <v>0</v>
      </c>
      <c r="T11" s="84">
        <f t="shared" si="17"/>
        <v>200</v>
      </c>
      <c r="U11" s="19">
        <f t="shared" si="9"/>
        <v>0</v>
      </c>
      <c r="V11" s="19">
        <f t="shared" si="9"/>
        <v>0</v>
      </c>
      <c r="W11" s="19">
        <f t="shared" si="9"/>
        <v>1000</v>
      </c>
      <c r="X11" s="19">
        <f t="shared" ref="X11" si="19">X10</f>
        <v>0</v>
      </c>
      <c r="Y11" s="21">
        <f t="shared" si="0"/>
        <v>15240</v>
      </c>
      <c r="Z11" s="22">
        <f t="shared" si="1"/>
        <v>42486</v>
      </c>
      <c r="AA11" s="47"/>
    </row>
    <row r="12" spans="1:29" s="14" customFormat="1" ht="18.95" customHeight="1">
      <c r="A12" s="28"/>
      <c r="B12" s="14">
        <v>7</v>
      </c>
      <c r="C12" s="46">
        <v>45108</v>
      </c>
      <c r="D12" s="19">
        <f>MROUND(ROUND(1.03*D8,0),100)</f>
        <v>42700</v>
      </c>
      <c r="E12" s="19">
        <f t="shared" si="11"/>
        <v>0</v>
      </c>
      <c r="F12" s="19">
        <f>IF(F$8=0,0,F11)</f>
        <v>0</v>
      </c>
      <c r="G12" s="19">
        <f>IF(G$8=0,0,G11)</f>
        <v>0</v>
      </c>
      <c r="H12" s="19">
        <f>ROUND(42%*D12,0)</f>
        <v>17934</v>
      </c>
      <c r="I12" s="55">
        <f t="shared" si="13"/>
        <v>456</v>
      </c>
      <c r="J12" s="19">
        <f>IF(J$8=0,0,J11)</f>
        <v>0</v>
      </c>
      <c r="K12" s="19">
        <f t="shared" ref="K12" si="20">IF(K$8=0,0,K11)</f>
        <v>0</v>
      </c>
      <c r="L12" s="19">
        <f>IF(L$8=0,0,L11)</f>
        <v>0</v>
      </c>
      <c r="M12" s="19">
        <f>IF(M$8=0,0,M11)</f>
        <v>0</v>
      </c>
      <c r="N12" s="20">
        <f t="shared" si="6"/>
        <v>61090</v>
      </c>
      <c r="O12" s="19">
        <f t="shared" si="7"/>
        <v>6063</v>
      </c>
      <c r="P12" s="19">
        <f t="shared" si="8"/>
        <v>8489</v>
      </c>
      <c r="Q12" s="19">
        <f>Q11</f>
        <v>87</v>
      </c>
      <c r="R12" s="19">
        <f>R11</f>
        <v>208</v>
      </c>
      <c r="S12" s="19">
        <f>S11</f>
        <v>0</v>
      </c>
      <c r="T12" s="84">
        <f t="shared" ref="T12:T19" si="21">T11</f>
        <v>200</v>
      </c>
      <c r="U12" s="19">
        <f>U11</f>
        <v>0</v>
      </c>
      <c r="V12" s="19">
        <f>V11</f>
        <v>0</v>
      </c>
      <c r="W12" s="19">
        <f t="shared" ref="W12:X19" si="22">W11</f>
        <v>1000</v>
      </c>
      <c r="X12" s="19">
        <f t="shared" si="22"/>
        <v>0</v>
      </c>
      <c r="Y12" s="21">
        <f t="shared" si="0"/>
        <v>16047</v>
      </c>
      <c r="Z12" s="22">
        <f t="shared" si="1"/>
        <v>45043</v>
      </c>
      <c r="AA12" s="47"/>
    </row>
    <row r="13" spans="1:29" s="14" customFormat="1" ht="18.95" customHeight="1">
      <c r="A13" s="28"/>
      <c r="B13" s="14">
        <v>8</v>
      </c>
      <c r="C13" s="46">
        <v>45139</v>
      </c>
      <c r="D13" s="19">
        <f t="shared" si="10"/>
        <v>42700</v>
      </c>
      <c r="E13" s="19">
        <f t="shared" si="11"/>
        <v>0</v>
      </c>
      <c r="F13" s="19">
        <f t="shared" si="2"/>
        <v>0</v>
      </c>
      <c r="G13" s="19">
        <f t="shared" si="2"/>
        <v>0</v>
      </c>
      <c r="H13" s="19">
        <f t="shared" ref="H13:H19" si="23">ROUND(42%*D13,0)</f>
        <v>17934</v>
      </c>
      <c r="I13" s="55">
        <f t="shared" si="13"/>
        <v>456</v>
      </c>
      <c r="J13" s="19">
        <f t="shared" si="3"/>
        <v>0</v>
      </c>
      <c r="K13" s="19">
        <f t="shared" si="4"/>
        <v>0</v>
      </c>
      <c r="L13" s="19">
        <f t="shared" si="4"/>
        <v>0</v>
      </c>
      <c r="M13" s="19">
        <f t="shared" si="5"/>
        <v>0</v>
      </c>
      <c r="N13" s="20">
        <f t="shared" si="6"/>
        <v>61090</v>
      </c>
      <c r="O13" s="19">
        <f t="shared" si="7"/>
        <v>6063</v>
      </c>
      <c r="P13" s="19">
        <f t="shared" si="8"/>
        <v>8489</v>
      </c>
      <c r="Q13" s="19">
        <f t="shared" si="15"/>
        <v>87</v>
      </c>
      <c r="R13" s="19">
        <f t="shared" si="16"/>
        <v>208</v>
      </c>
      <c r="S13" s="19">
        <f t="shared" si="17"/>
        <v>0</v>
      </c>
      <c r="T13" s="84">
        <f t="shared" si="21"/>
        <v>200</v>
      </c>
      <c r="U13" s="19">
        <f t="shared" si="9"/>
        <v>0</v>
      </c>
      <c r="V13" s="19">
        <f t="shared" si="9"/>
        <v>0</v>
      </c>
      <c r="W13" s="19">
        <f t="shared" si="22"/>
        <v>1000</v>
      </c>
      <c r="X13" s="19">
        <f t="shared" si="22"/>
        <v>0</v>
      </c>
      <c r="Y13" s="21">
        <f t="shared" si="0"/>
        <v>16047</v>
      </c>
      <c r="Z13" s="22">
        <f t="shared" si="1"/>
        <v>45043</v>
      </c>
      <c r="AA13" s="47"/>
    </row>
    <row r="14" spans="1:29" s="14" customFormat="1" ht="18.95" customHeight="1">
      <c r="A14" s="28"/>
      <c r="B14" s="14">
        <v>9</v>
      </c>
      <c r="C14" s="46">
        <v>45170</v>
      </c>
      <c r="D14" s="19">
        <f t="shared" si="10"/>
        <v>42700</v>
      </c>
      <c r="E14" s="19">
        <f t="shared" si="11"/>
        <v>0</v>
      </c>
      <c r="F14" s="19">
        <f t="shared" si="2"/>
        <v>0</v>
      </c>
      <c r="G14" s="19">
        <f t="shared" si="2"/>
        <v>0</v>
      </c>
      <c r="H14" s="19">
        <f t="shared" si="23"/>
        <v>17934</v>
      </c>
      <c r="I14" s="55">
        <f t="shared" si="13"/>
        <v>456</v>
      </c>
      <c r="J14" s="19">
        <f t="shared" si="3"/>
        <v>0</v>
      </c>
      <c r="K14" s="19">
        <f t="shared" si="4"/>
        <v>0</v>
      </c>
      <c r="L14" s="19">
        <f t="shared" si="4"/>
        <v>0</v>
      </c>
      <c r="M14" s="19">
        <f t="shared" si="5"/>
        <v>0</v>
      </c>
      <c r="N14" s="20">
        <f t="shared" si="6"/>
        <v>61090</v>
      </c>
      <c r="O14" s="19">
        <f t="shared" si="7"/>
        <v>6063</v>
      </c>
      <c r="P14" s="19">
        <f t="shared" si="8"/>
        <v>8489</v>
      </c>
      <c r="Q14" s="19">
        <f t="shared" si="15"/>
        <v>87</v>
      </c>
      <c r="R14" s="19">
        <f t="shared" si="16"/>
        <v>208</v>
      </c>
      <c r="S14" s="19">
        <f t="shared" si="17"/>
        <v>0</v>
      </c>
      <c r="T14" s="84">
        <f t="shared" si="21"/>
        <v>200</v>
      </c>
      <c r="U14" s="19">
        <f t="shared" si="9"/>
        <v>0</v>
      </c>
      <c r="V14" s="19">
        <f t="shared" si="9"/>
        <v>0</v>
      </c>
      <c r="W14" s="19">
        <f t="shared" si="22"/>
        <v>1000</v>
      </c>
      <c r="X14" s="19">
        <f t="shared" si="22"/>
        <v>0</v>
      </c>
      <c r="Y14" s="21">
        <f t="shared" si="0"/>
        <v>16047</v>
      </c>
      <c r="Z14" s="22">
        <f t="shared" si="1"/>
        <v>45043</v>
      </c>
      <c r="AA14" s="47"/>
    </row>
    <row r="15" spans="1:29" s="14" customFormat="1" ht="18.95" customHeight="1">
      <c r="A15" s="28"/>
      <c r="B15" s="14">
        <v>10</v>
      </c>
      <c r="C15" s="46">
        <v>45200</v>
      </c>
      <c r="D15" s="19">
        <f t="shared" si="10"/>
        <v>42700</v>
      </c>
      <c r="E15" s="19">
        <f t="shared" si="11"/>
        <v>0</v>
      </c>
      <c r="F15" s="19">
        <f>IF(F$8=0,0,F14)</f>
        <v>0</v>
      </c>
      <c r="G15" s="19">
        <f t="shared" ref="G15:G19" si="24">IF(G$8=0,0,G14)</f>
        <v>0</v>
      </c>
      <c r="H15" s="19">
        <f t="shared" si="23"/>
        <v>17934</v>
      </c>
      <c r="I15" s="55">
        <f t="shared" si="13"/>
        <v>456</v>
      </c>
      <c r="J15" s="19">
        <f t="shared" si="3"/>
        <v>0</v>
      </c>
      <c r="K15" s="19">
        <f t="shared" si="4"/>
        <v>0</v>
      </c>
      <c r="L15" s="19">
        <f t="shared" si="4"/>
        <v>0</v>
      </c>
      <c r="M15" s="19">
        <f t="shared" si="5"/>
        <v>0</v>
      </c>
      <c r="N15" s="20">
        <f t="shared" si="6"/>
        <v>61090</v>
      </c>
      <c r="O15" s="19">
        <f t="shared" si="7"/>
        <v>6063</v>
      </c>
      <c r="P15" s="19">
        <f t="shared" si="8"/>
        <v>8489</v>
      </c>
      <c r="Q15" s="19">
        <f t="shared" si="15"/>
        <v>87</v>
      </c>
      <c r="R15" s="19">
        <f t="shared" si="16"/>
        <v>208</v>
      </c>
      <c r="S15" s="19">
        <f t="shared" si="17"/>
        <v>0</v>
      </c>
      <c r="T15" s="84">
        <f t="shared" si="21"/>
        <v>200</v>
      </c>
      <c r="U15" s="19">
        <f t="shared" si="9"/>
        <v>0</v>
      </c>
      <c r="V15" s="19">
        <f t="shared" si="9"/>
        <v>0</v>
      </c>
      <c r="W15" s="19">
        <f t="shared" si="22"/>
        <v>1000</v>
      </c>
      <c r="X15" s="19">
        <f t="shared" si="22"/>
        <v>0</v>
      </c>
      <c r="Y15" s="21">
        <f t="shared" si="0"/>
        <v>16047</v>
      </c>
      <c r="Z15" s="22">
        <f t="shared" si="1"/>
        <v>45043</v>
      </c>
      <c r="AA15" s="47"/>
    </row>
    <row r="16" spans="1:29" s="14" customFormat="1" ht="18.95" customHeight="1">
      <c r="A16" s="28"/>
      <c r="B16" s="14">
        <v>11</v>
      </c>
      <c r="C16" s="46">
        <v>45231</v>
      </c>
      <c r="D16" s="19">
        <f t="shared" si="10"/>
        <v>42700</v>
      </c>
      <c r="E16" s="19">
        <f t="shared" si="11"/>
        <v>0</v>
      </c>
      <c r="F16" s="19">
        <f>IF(F$8=0,0,F15)</f>
        <v>0</v>
      </c>
      <c r="G16" s="19">
        <f t="shared" si="24"/>
        <v>0</v>
      </c>
      <c r="H16" s="19">
        <f t="shared" si="23"/>
        <v>17934</v>
      </c>
      <c r="I16" s="55">
        <f t="shared" si="13"/>
        <v>456</v>
      </c>
      <c r="J16" s="19">
        <f t="shared" si="3"/>
        <v>0</v>
      </c>
      <c r="K16" s="19">
        <f t="shared" si="4"/>
        <v>0</v>
      </c>
      <c r="L16" s="19">
        <f t="shared" si="4"/>
        <v>0</v>
      </c>
      <c r="M16" s="19">
        <f t="shared" si="5"/>
        <v>0</v>
      </c>
      <c r="N16" s="20">
        <f t="shared" si="6"/>
        <v>61090</v>
      </c>
      <c r="O16" s="19">
        <f t="shared" si="7"/>
        <v>6063</v>
      </c>
      <c r="P16" s="19">
        <f t="shared" si="8"/>
        <v>8489</v>
      </c>
      <c r="Q16" s="19">
        <f t="shared" si="15"/>
        <v>87</v>
      </c>
      <c r="R16" s="19">
        <f t="shared" si="16"/>
        <v>208</v>
      </c>
      <c r="S16" s="19">
        <f t="shared" si="17"/>
        <v>0</v>
      </c>
      <c r="T16" s="84">
        <f t="shared" si="21"/>
        <v>200</v>
      </c>
      <c r="U16" s="19">
        <f t="shared" si="9"/>
        <v>0</v>
      </c>
      <c r="V16" s="19">
        <f t="shared" si="9"/>
        <v>0</v>
      </c>
      <c r="W16" s="19">
        <f t="shared" si="22"/>
        <v>1000</v>
      </c>
      <c r="X16" s="19">
        <f t="shared" si="22"/>
        <v>0</v>
      </c>
      <c r="Y16" s="21">
        <f t="shared" si="0"/>
        <v>16047</v>
      </c>
      <c r="Z16" s="22">
        <f t="shared" si="1"/>
        <v>45043</v>
      </c>
      <c r="AA16" s="47"/>
    </row>
    <row r="17" spans="1:27" s="14" customFormat="1" ht="18.95" customHeight="1">
      <c r="A17" s="28"/>
      <c r="B17" s="14">
        <v>12</v>
      </c>
      <c r="C17" s="46">
        <v>45261</v>
      </c>
      <c r="D17" s="19">
        <f t="shared" si="10"/>
        <v>42700</v>
      </c>
      <c r="E17" s="19">
        <f t="shared" si="11"/>
        <v>0</v>
      </c>
      <c r="F17" s="19">
        <f>IF(F$8=0,0,F16)</f>
        <v>0</v>
      </c>
      <c r="G17" s="19">
        <f t="shared" si="24"/>
        <v>0</v>
      </c>
      <c r="H17" s="19">
        <f t="shared" si="23"/>
        <v>17934</v>
      </c>
      <c r="I17" s="55">
        <f t="shared" si="13"/>
        <v>456</v>
      </c>
      <c r="J17" s="19">
        <f t="shared" si="3"/>
        <v>0</v>
      </c>
      <c r="K17" s="19">
        <f t="shared" si="4"/>
        <v>0</v>
      </c>
      <c r="L17" s="19">
        <f t="shared" si="4"/>
        <v>0</v>
      </c>
      <c r="M17" s="19">
        <f t="shared" si="5"/>
        <v>0</v>
      </c>
      <c r="N17" s="20">
        <f t="shared" si="6"/>
        <v>61090</v>
      </c>
      <c r="O17" s="19">
        <f t="shared" si="7"/>
        <v>6063</v>
      </c>
      <c r="P17" s="19">
        <f t="shared" si="8"/>
        <v>8489</v>
      </c>
      <c r="Q17" s="19">
        <f t="shared" si="15"/>
        <v>87</v>
      </c>
      <c r="R17" s="19">
        <f t="shared" si="16"/>
        <v>208</v>
      </c>
      <c r="S17" s="19">
        <f t="shared" si="17"/>
        <v>0</v>
      </c>
      <c r="T17" s="84">
        <f t="shared" si="21"/>
        <v>200</v>
      </c>
      <c r="U17" s="19">
        <f t="shared" si="9"/>
        <v>0</v>
      </c>
      <c r="V17" s="19">
        <f t="shared" si="9"/>
        <v>0</v>
      </c>
      <c r="W17" s="19">
        <f t="shared" si="22"/>
        <v>1000</v>
      </c>
      <c r="X17" s="19"/>
      <c r="Y17" s="21">
        <f t="shared" si="0"/>
        <v>16047</v>
      </c>
      <c r="Z17" s="22">
        <f t="shared" si="1"/>
        <v>45043</v>
      </c>
      <c r="AA17" s="47"/>
    </row>
    <row r="18" spans="1:27" s="14" customFormat="1" ht="18.95" customHeight="1">
      <c r="A18" s="28"/>
      <c r="B18" s="14">
        <v>1</v>
      </c>
      <c r="C18" s="46">
        <v>45292</v>
      </c>
      <c r="D18" s="19">
        <f t="shared" si="10"/>
        <v>42700</v>
      </c>
      <c r="E18" s="19">
        <f t="shared" si="11"/>
        <v>0</v>
      </c>
      <c r="F18" s="19">
        <f>IF(F$8=0,0,F17)</f>
        <v>0</v>
      </c>
      <c r="G18" s="19">
        <f t="shared" si="24"/>
        <v>0</v>
      </c>
      <c r="H18" s="19">
        <f t="shared" si="23"/>
        <v>17934</v>
      </c>
      <c r="I18" s="55">
        <f t="shared" si="13"/>
        <v>456</v>
      </c>
      <c r="J18" s="19">
        <f t="shared" si="3"/>
        <v>0</v>
      </c>
      <c r="K18" s="19">
        <f t="shared" si="4"/>
        <v>0</v>
      </c>
      <c r="L18" s="19">
        <f t="shared" si="4"/>
        <v>0</v>
      </c>
      <c r="M18" s="19">
        <f t="shared" si="5"/>
        <v>0</v>
      </c>
      <c r="N18" s="20">
        <f t="shared" si="6"/>
        <v>61090</v>
      </c>
      <c r="O18" s="19">
        <f t="shared" si="7"/>
        <v>6063</v>
      </c>
      <c r="P18" s="19">
        <f t="shared" si="8"/>
        <v>8489</v>
      </c>
      <c r="Q18" s="19">
        <f t="shared" si="15"/>
        <v>87</v>
      </c>
      <c r="R18" s="19">
        <f t="shared" si="16"/>
        <v>208</v>
      </c>
      <c r="S18" s="19">
        <f t="shared" si="17"/>
        <v>0</v>
      </c>
      <c r="T18" s="84">
        <f t="shared" si="21"/>
        <v>200</v>
      </c>
      <c r="U18" s="19">
        <f t="shared" si="9"/>
        <v>0</v>
      </c>
      <c r="V18" s="19">
        <f t="shared" si="9"/>
        <v>0</v>
      </c>
      <c r="W18" s="19">
        <f t="shared" si="22"/>
        <v>1000</v>
      </c>
      <c r="X18" s="19"/>
      <c r="Y18" s="21">
        <f t="shared" si="0"/>
        <v>16047</v>
      </c>
      <c r="Z18" s="22">
        <f t="shared" si="1"/>
        <v>45043</v>
      </c>
      <c r="AA18" s="47"/>
    </row>
    <row r="19" spans="1:27" s="14" customFormat="1" ht="18.95" customHeight="1">
      <c r="A19" s="28"/>
      <c r="B19" s="14">
        <v>2</v>
      </c>
      <c r="C19" s="46">
        <v>45323</v>
      </c>
      <c r="D19" s="19">
        <f t="shared" si="10"/>
        <v>42700</v>
      </c>
      <c r="E19" s="19">
        <f t="shared" si="11"/>
        <v>0</v>
      </c>
      <c r="F19" s="19">
        <f>IF(F$8=0,0,F18)</f>
        <v>0</v>
      </c>
      <c r="G19" s="19">
        <f t="shared" si="24"/>
        <v>0</v>
      </c>
      <c r="H19" s="19">
        <f t="shared" si="23"/>
        <v>17934</v>
      </c>
      <c r="I19" s="55">
        <f t="shared" si="13"/>
        <v>456</v>
      </c>
      <c r="J19" s="19">
        <f t="shared" si="3"/>
        <v>0</v>
      </c>
      <c r="K19" s="19">
        <f t="shared" si="4"/>
        <v>0</v>
      </c>
      <c r="L19" s="19">
        <f t="shared" si="4"/>
        <v>0</v>
      </c>
      <c r="M19" s="19">
        <f t="shared" si="5"/>
        <v>0</v>
      </c>
      <c r="N19" s="20">
        <f t="shared" si="6"/>
        <v>61090</v>
      </c>
      <c r="O19" s="19">
        <f t="shared" si="7"/>
        <v>6063</v>
      </c>
      <c r="P19" s="19">
        <f t="shared" si="8"/>
        <v>8489</v>
      </c>
      <c r="Q19" s="19">
        <f t="shared" si="15"/>
        <v>87</v>
      </c>
      <c r="R19" s="19">
        <v>212</v>
      </c>
      <c r="S19" s="19">
        <f t="shared" si="17"/>
        <v>0</v>
      </c>
      <c r="T19" s="84">
        <f t="shared" si="21"/>
        <v>200</v>
      </c>
      <c r="U19" s="19">
        <f t="shared" si="9"/>
        <v>0</v>
      </c>
      <c r="V19" s="19">
        <f t="shared" si="9"/>
        <v>0</v>
      </c>
      <c r="W19" s="19">
        <f t="shared" si="22"/>
        <v>1000</v>
      </c>
      <c r="X19" s="19"/>
      <c r="Y19" s="21">
        <f t="shared" si="0"/>
        <v>16051</v>
      </c>
      <c r="Z19" s="22">
        <f t="shared" si="1"/>
        <v>45039</v>
      </c>
      <c r="AA19" s="47"/>
    </row>
    <row r="20" spans="1:27" s="14" customFormat="1" ht="18.95" customHeight="1">
      <c r="A20" s="28"/>
      <c r="C20" s="48" t="s">
        <v>189</v>
      </c>
      <c r="D20" s="19"/>
      <c r="E20" s="19"/>
      <c r="F20" s="19"/>
      <c r="G20" s="19"/>
      <c r="H20" s="19">
        <f>(ROUND(38%*D8,0)-ROUND(34%*D8,0))*3</f>
        <v>4980</v>
      </c>
      <c r="I20" s="19"/>
      <c r="J20" s="19"/>
      <c r="K20" s="19"/>
      <c r="L20" s="19"/>
      <c r="M20" s="19"/>
      <c r="N20" s="20">
        <f>H20</f>
        <v>4980</v>
      </c>
      <c r="O20" s="19">
        <f t="shared" si="7"/>
        <v>498</v>
      </c>
      <c r="P20" s="19">
        <f t="shared" si="8"/>
        <v>697</v>
      </c>
      <c r="Q20" s="19"/>
      <c r="R20" s="19"/>
      <c r="S20" s="19">
        <v>0</v>
      </c>
      <c r="T20" s="19"/>
      <c r="U20" s="19"/>
      <c r="V20" s="19"/>
      <c r="W20" s="19"/>
      <c r="X20" s="19"/>
      <c r="Y20" s="21">
        <f t="shared" si="0"/>
        <v>1195</v>
      </c>
      <c r="Z20" s="22">
        <f t="shared" si="1"/>
        <v>3785</v>
      </c>
      <c r="AA20" s="47"/>
    </row>
    <row r="21" spans="1:27" s="14" customFormat="1" ht="18.95" customHeight="1">
      <c r="A21" s="28"/>
      <c r="C21" s="48" t="s">
        <v>45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20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1">
        <f t="shared" si="0"/>
        <v>0</v>
      </c>
      <c r="Z21" s="22">
        <f t="shared" si="1"/>
        <v>0</v>
      </c>
      <c r="AA21" s="47"/>
    </row>
    <row r="22" spans="1:27" s="14" customFormat="1" ht="18.95" customHeight="1">
      <c r="A22" s="28"/>
      <c r="C22" s="49" t="s">
        <v>26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20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21">
        <f t="shared" si="0"/>
        <v>0</v>
      </c>
      <c r="Z22" s="22">
        <f t="shared" si="1"/>
        <v>0</v>
      </c>
      <c r="AA22" s="47"/>
    </row>
    <row r="23" spans="1:27" s="14" customFormat="1" ht="18.95" customHeight="1">
      <c r="A23" s="28"/>
      <c r="C23" s="50" t="s">
        <v>27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20">
        <f t="shared" si="6"/>
        <v>0</v>
      </c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21">
        <f t="shared" si="0"/>
        <v>0</v>
      </c>
      <c r="Z23" s="22">
        <f t="shared" si="1"/>
        <v>0</v>
      </c>
      <c r="AA23" s="47"/>
    </row>
    <row r="24" spans="1:27" s="14" customFormat="1" ht="18.95" customHeight="1">
      <c r="A24" s="28"/>
      <c r="C24" s="50" t="s">
        <v>40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20">
        <f t="shared" si="6"/>
        <v>0</v>
      </c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21">
        <f t="shared" si="0"/>
        <v>0</v>
      </c>
      <c r="Z24" s="22">
        <f t="shared" si="1"/>
        <v>0</v>
      </c>
      <c r="AA24" s="47"/>
    </row>
    <row r="25" spans="1:27" s="14" customFormat="1" ht="18.95" customHeight="1">
      <c r="A25" s="28"/>
      <c r="C25" s="50" t="s">
        <v>41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20">
        <f t="shared" si="6"/>
        <v>0</v>
      </c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21">
        <f t="shared" si="0"/>
        <v>0</v>
      </c>
      <c r="Z25" s="22">
        <f t="shared" si="1"/>
        <v>0</v>
      </c>
      <c r="AA25" s="47"/>
    </row>
    <row r="26" spans="1:27" s="14" customFormat="1" ht="18.95" customHeight="1">
      <c r="A26" s="28"/>
      <c r="C26" s="50" t="s">
        <v>42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20">
        <f t="shared" si="6"/>
        <v>0</v>
      </c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21">
        <f t="shared" si="0"/>
        <v>0</v>
      </c>
      <c r="Z26" s="22">
        <f t="shared" si="1"/>
        <v>0</v>
      </c>
      <c r="AA26" s="47"/>
    </row>
    <row r="27" spans="1:27" s="14" customFormat="1" ht="18.95" customHeight="1">
      <c r="A27" s="28"/>
      <c r="C27" s="50" t="s">
        <v>30</v>
      </c>
      <c r="D27" s="19"/>
      <c r="E27" s="19">
        <v>0</v>
      </c>
      <c r="F27" s="19">
        <v>0</v>
      </c>
      <c r="G27" s="19"/>
      <c r="H27" s="19"/>
      <c r="I27" s="19"/>
      <c r="J27" s="19"/>
      <c r="K27" s="19"/>
      <c r="L27" s="19"/>
      <c r="M27" s="19"/>
      <c r="N27" s="20">
        <f t="shared" si="6"/>
        <v>0</v>
      </c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21">
        <f t="shared" si="0"/>
        <v>0</v>
      </c>
      <c r="Z27" s="22">
        <f t="shared" si="1"/>
        <v>0</v>
      </c>
      <c r="AA27" s="47"/>
    </row>
    <row r="28" spans="1:27" s="15" customFormat="1" ht="70.5" customHeight="1" thickBot="1">
      <c r="A28" s="29"/>
      <c r="C28" s="51" t="s">
        <v>22</v>
      </c>
      <c r="D28" s="52">
        <f>SUM(D8:D27)</f>
        <v>507600</v>
      </c>
      <c r="E28" s="52">
        <f t="shared" ref="E28:Z28" si="25">SUM(E8:E27)</f>
        <v>0</v>
      </c>
      <c r="F28" s="52">
        <f t="shared" si="25"/>
        <v>0</v>
      </c>
      <c r="G28" s="52">
        <f t="shared" si="25"/>
        <v>0</v>
      </c>
      <c r="H28" s="52">
        <f t="shared" si="25"/>
        <v>209872</v>
      </c>
      <c r="I28" s="52">
        <f t="shared" si="25"/>
        <v>5472</v>
      </c>
      <c r="J28" s="52">
        <f t="shared" si="25"/>
        <v>0</v>
      </c>
      <c r="K28" s="52">
        <f t="shared" si="25"/>
        <v>0</v>
      </c>
      <c r="L28" s="52">
        <f t="shared" si="25"/>
        <v>0</v>
      </c>
      <c r="M28" s="52">
        <f t="shared" si="25"/>
        <v>0</v>
      </c>
      <c r="N28" s="52">
        <f t="shared" si="25"/>
        <v>722944</v>
      </c>
      <c r="O28" s="52">
        <f t="shared" si="25"/>
        <v>71744</v>
      </c>
      <c r="P28" s="52">
        <f t="shared" si="25"/>
        <v>100448</v>
      </c>
      <c r="Q28" s="52">
        <f t="shared" si="25"/>
        <v>1044</v>
      </c>
      <c r="R28" s="52">
        <f t="shared" si="25"/>
        <v>2500</v>
      </c>
      <c r="S28" s="52">
        <f t="shared" si="25"/>
        <v>0</v>
      </c>
      <c r="T28" s="53">
        <f t="shared" si="25"/>
        <v>2400</v>
      </c>
      <c r="U28" s="52">
        <f t="shared" si="25"/>
        <v>0</v>
      </c>
      <c r="V28" s="52">
        <f t="shared" si="25"/>
        <v>0</v>
      </c>
      <c r="W28" s="52">
        <f t="shared" si="25"/>
        <v>12000</v>
      </c>
      <c r="X28" s="52">
        <f t="shared" si="25"/>
        <v>0</v>
      </c>
      <c r="Y28" s="53">
        <f t="shared" si="25"/>
        <v>190136</v>
      </c>
      <c r="Z28" s="53">
        <f t="shared" si="25"/>
        <v>532808</v>
      </c>
      <c r="AA28" s="54"/>
    </row>
    <row r="29" spans="1:27" s="7" customFormat="1">
      <c r="A29" s="30"/>
      <c r="C29" s="88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89"/>
    </row>
    <row r="30" spans="1:27" s="7" customFormat="1">
      <c r="A30" s="30"/>
      <c r="C30" s="88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89"/>
    </row>
    <row r="31" spans="1:27" s="7" customFormat="1">
      <c r="A31" s="30"/>
      <c r="C31" s="88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89"/>
    </row>
    <row r="32" spans="1:27">
      <c r="C32" s="90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91"/>
    </row>
    <row r="33" spans="3:27">
      <c r="C33" s="90"/>
      <c r="D33" s="3"/>
      <c r="E33" s="17" t="s">
        <v>23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17" t="s">
        <v>24</v>
      </c>
      <c r="AA33" s="91"/>
    </row>
    <row r="34" spans="3:27">
      <c r="C34" s="92"/>
      <c r="AA34" s="93"/>
    </row>
    <row r="35" spans="3:27" ht="13.5" thickBot="1"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5"/>
    </row>
    <row r="36" spans="3:27" hidden="1"/>
    <row r="37" spans="3:27" hidden="1"/>
    <row r="38" spans="3:27" hidden="1"/>
    <row r="39" spans="3:27" hidden="1"/>
    <row r="40" spans="3:27" hidden="1"/>
    <row r="41" spans="3:27" hidden="1"/>
    <row r="42" spans="3:27" hidden="1"/>
    <row r="43" spans="3:27" hidden="1"/>
    <row r="44" spans="3:27" hidden="1"/>
    <row r="45" spans="3:27" hidden="1"/>
    <row r="46" spans="3:27" hidden="1"/>
    <row r="47" spans="3:27" hidden="1"/>
    <row r="48" spans="3:27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</sheetData>
  <sheetProtection password="FC1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X1:AA1"/>
    <mergeCell ref="E4:J4"/>
    <mergeCell ref="N4:T4"/>
    <mergeCell ref="C1:D1"/>
    <mergeCell ref="E1:G1"/>
    <mergeCell ref="I1:N1"/>
    <mergeCell ref="C3:AA3"/>
    <mergeCell ref="O1:Q1"/>
    <mergeCell ref="R1:U1"/>
    <mergeCell ref="V1:W1"/>
    <mergeCell ref="C35:AA35"/>
    <mergeCell ref="C2:AA2"/>
    <mergeCell ref="C4:D4"/>
    <mergeCell ref="C6:N6"/>
    <mergeCell ref="O6:Y6"/>
    <mergeCell ref="Z6:Z7"/>
    <mergeCell ref="AA6:AA7"/>
    <mergeCell ref="C5:D5"/>
    <mergeCell ref="K4:M4"/>
    <mergeCell ref="K5:M5"/>
    <mergeCell ref="X4:Y4"/>
    <mergeCell ref="X5:Y5"/>
    <mergeCell ref="U4:W4"/>
    <mergeCell ref="U5:W5"/>
    <mergeCell ref="E5:J5"/>
    <mergeCell ref="N5:T5"/>
  </mergeCells>
  <phoneticPr fontId="0" type="noConversion"/>
  <conditionalFormatting sqref="X9:X27 D8:W27">
    <cfRule type="cellIs" dxfId="3" priority="8" stopIfTrue="1" operator="equal">
      <formula>0</formula>
    </cfRule>
  </conditionalFormatting>
  <dataValidations count="2">
    <dataValidation type="list" allowBlank="1" showInputMessage="1" showErrorMessage="1" sqref="E1:G1">
      <formula1>$AC$2:$AC$3</formula1>
    </dataValidation>
    <dataValidation type="list" allowBlank="1" showInputMessage="1" showErrorMessage="1" sqref="O1:Q1">
      <formula1>$AB$2:$AB$3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0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B4" sqref="B4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24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154" t="s">
        <v>149</v>
      </c>
      <c r="B1" s="154"/>
      <c r="C1" s="154"/>
      <c r="D1" s="154"/>
      <c r="E1" s="154"/>
      <c r="F1" s="154"/>
    </row>
    <row r="2" spans="1:122" ht="27.75" customHeight="1">
      <c r="A2" s="155" t="str">
        <f>Salary!E4</f>
        <v>PARMANAND MEGHWAL</v>
      </c>
      <c r="B2" s="155"/>
      <c r="C2" s="155"/>
      <c r="D2" s="155"/>
      <c r="E2" s="155"/>
      <c r="F2" s="155"/>
    </row>
    <row r="3" spans="1:122" ht="15" customHeight="1">
      <c r="A3" s="73" t="s">
        <v>117</v>
      </c>
      <c r="B3" s="40">
        <v>0</v>
      </c>
      <c r="C3" s="41"/>
      <c r="D3" s="73" t="s">
        <v>130</v>
      </c>
      <c r="E3" s="40">
        <v>0</v>
      </c>
      <c r="F3" s="36" t="s">
        <v>43</v>
      </c>
      <c r="DR3" s="5" t="s">
        <v>8</v>
      </c>
    </row>
    <row r="4" spans="1:122">
      <c r="A4" s="74" t="s">
        <v>150</v>
      </c>
      <c r="B4" s="42">
        <v>0</v>
      </c>
      <c r="C4" s="43"/>
      <c r="D4" s="75" t="s">
        <v>132</v>
      </c>
      <c r="E4" s="42">
        <v>0</v>
      </c>
      <c r="F4" s="36">
        <f>Salary!D28+Salary!H28</f>
        <v>717472</v>
      </c>
      <c r="DR4" s="5"/>
    </row>
    <row r="5" spans="1:122" ht="15" customHeight="1">
      <c r="A5" s="73" t="s">
        <v>161</v>
      </c>
      <c r="B5" s="40">
        <v>0</v>
      </c>
      <c r="C5" s="41"/>
      <c r="D5" s="73" t="s">
        <v>160</v>
      </c>
      <c r="E5" s="40">
        <v>0</v>
      </c>
      <c r="F5" s="37" t="s">
        <v>16</v>
      </c>
      <c r="DR5" s="5"/>
    </row>
    <row r="6" spans="1:122" ht="17.25" customHeight="1">
      <c r="A6" s="75" t="s">
        <v>120</v>
      </c>
      <c r="B6" s="42">
        <v>0</v>
      </c>
      <c r="C6" s="43"/>
      <c r="D6" s="75" t="s">
        <v>159</v>
      </c>
      <c r="E6" s="42">
        <v>0</v>
      </c>
      <c r="F6" s="37">
        <f>'Tax Old Regime'!P47</f>
        <v>547660</v>
      </c>
      <c r="DR6" s="5"/>
    </row>
    <row r="7" spans="1:122" ht="15" customHeight="1">
      <c r="A7" s="73" t="s">
        <v>119</v>
      </c>
      <c r="B7" s="40">
        <v>0</v>
      </c>
      <c r="C7" s="41"/>
      <c r="D7" s="77" t="s">
        <v>134</v>
      </c>
      <c r="E7" s="40">
        <v>50000</v>
      </c>
      <c r="F7" s="38" t="s">
        <v>25</v>
      </c>
      <c r="DR7" s="5"/>
    </row>
    <row r="8" spans="1:122" ht="15" customHeight="1">
      <c r="A8" s="76" t="s">
        <v>164</v>
      </c>
      <c r="B8" s="44">
        <v>0</v>
      </c>
      <c r="C8" s="43"/>
      <c r="D8" s="75" t="s">
        <v>138</v>
      </c>
      <c r="E8" s="44">
        <v>0</v>
      </c>
      <c r="F8" s="39">
        <f>Salary!W28</f>
        <v>12000</v>
      </c>
      <c r="DR8" s="5"/>
    </row>
    <row r="9" spans="1:122" ht="15" customHeight="1">
      <c r="A9" s="73" t="s">
        <v>118</v>
      </c>
      <c r="B9" s="40">
        <v>0</v>
      </c>
      <c r="C9" s="41"/>
      <c r="D9" s="73" t="s">
        <v>139</v>
      </c>
      <c r="E9" s="40">
        <v>0</v>
      </c>
      <c r="F9" s="156" t="s">
        <v>35</v>
      </c>
      <c r="DR9" s="5"/>
    </row>
    <row r="10" spans="1:122" ht="15" customHeight="1">
      <c r="A10" s="76" t="s">
        <v>121</v>
      </c>
      <c r="B10" s="44">
        <v>0</v>
      </c>
      <c r="C10" s="43"/>
      <c r="D10" s="76" t="s">
        <v>140</v>
      </c>
      <c r="E10" s="44">
        <v>0</v>
      </c>
      <c r="F10" s="156"/>
      <c r="DR10" s="5" t="s">
        <v>9</v>
      </c>
    </row>
    <row r="11" spans="1:122" ht="15" customHeight="1">
      <c r="A11" s="73" t="s">
        <v>122</v>
      </c>
      <c r="B11" s="40">
        <v>0</v>
      </c>
      <c r="C11" s="41"/>
      <c r="D11" s="73" t="s">
        <v>141</v>
      </c>
      <c r="E11" s="40">
        <v>0</v>
      </c>
      <c r="F11" s="156"/>
      <c r="DR11" s="5" t="s">
        <v>11</v>
      </c>
    </row>
    <row r="12" spans="1:122" ht="15" customHeight="1">
      <c r="A12" s="76" t="s">
        <v>131</v>
      </c>
      <c r="B12" s="44">
        <v>0</v>
      </c>
      <c r="C12" s="43"/>
      <c r="D12" s="76" t="s">
        <v>142</v>
      </c>
      <c r="E12" s="44">
        <v>0</v>
      </c>
      <c r="F12" s="37">
        <f>'Tax Old Regime'!P31</f>
        <v>72788</v>
      </c>
      <c r="DR12" s="5" t="s">
        <v>3</v>
      </c>
    </row>
    <row r="13" spans="1:122" ht="15" customHeight="1">
      <c r="A13" s="73" t="s">
        <v>123</v>
      </c>
      <c r="B13" s="40">
        <v>0</v>
      </c>
      <c r="C13" s="41"/>
      <c r="D13" s="73" t="s">
        <v>143</v>
      </c>
      <c r="E13" s="40">
        <v>0</v>
      </c>
      <c r="F13" s="37"/>
      <c r="DR13" s="5"/>
    </row>
    <row r="14" spans="1:122" ht="15" customHeight="1">
      <c r="A14" s="76" t="s">
        <v>125</v>
      </c>
      <c r="B14" s="44">
        <v>0</v>
      </c>
      <c r="C14" s="43"/>
      <c r="D14" s="78" t="s">
        <v>144</v>
      </c>
      <c r="E14" s="44">
        <v>0</v>
      </c>
      <c r="F14" s="157" t="s">
        <v>151</v>
      </c>
      <c r="DR14" s="5" t="s">
        <v>0</v>
      </c>
    </row>
    <row r="15" spans="1:122" ht="15" customHeight="1">
      <c r="A15" s="73" t="s">
        <v>126</v>
      </c>
      <c r="B15" s="40">
        <v>0</v>
      </c>
      <c r="C15" s="41"/>
      <c r="D15" s="73" t="s">
        <v>145</v>
      </c>
      <c r="E15" s="40">
        <v>0</v>
      </c>
      <c r="F15" s="157"/>
      <c r="DR15" s="5" t="s">
        <v>11</v>
      </c>
    </row>
    <row r="16" spans="1:122" ht="15" customHeight="1">
      <c r="A16" s="76" t="s">
        <v>127</v>
      </c>
      <c r="B16" s="44">
        <v>0</v>
      </c>
      <c r="C16" s="43"/>
      <c r="D16" s="76" t="s">
        <v>146</v>
      </c>
      <c r="E16" s="44">
        <v>0</v>
      </c>
      <c r="F16" s="157"/>
      <c r="DR16" s="5" t="s">
        <v>12</v>
      </c>
    </row>
    <row r="17" spans="1:122" ht="15" customHeight="1">
      <c r="A17" s="73" t="s">
        <v>128</v>
      </c>
      <c r="B17" s="40">
        <v>0</v>
      </c>
      <c r="C17" s="41"/>
      <c r="D17" s="73" t="s">
        <v>147</v>
      </c>
      <c r="E17" s="40">
        <v>0</v>
      </c>
      <c r="F17" s="160">
        <f>IF(B3&gt;=1,(F4*10%+B3),0)</f>
        <v>0</v>
      </c>
      <c r="DR17" s="5" t="s">
        <v>4</v>
      </c>
    </row>
    <row r="18" spans="1:122" ht="15" customHeight="1">
      <c r="A18" s="76" t="s">
        <v>129</v>
      </c>
      <c r="B18" s="44">
        <v>0</v>
      </c>
      <c r="C18" s="43"/>
      <c r="D18" s="76" t="s">
        <v>148</v>
      </c>
      <c r="E18" s="44">
        <v>0</v>
      </c>
      <c r="F18" s="160"/>
      <c r="DR18" s="5" t="s">
        <v>13</v>
      </c>
    </row>
    <row r="19" spans="1:122" ht="15" customHeight="1">
      <c r="A19" s="159" t="str">
        <f>'Tax Old Regime'!A63</f>
        <v>Income Tax Payable</v>
      </c>
      <c r="B19" s="159"/>
      <c r="C19" s="33"/>
      <c r="D19" s="34">
        <f>'Tax Old Regime'!P63</f>
        <v>10913</v>
      </c>
      <c r="E19" s="45" t="s">
        <v>39</v>
      </c>
      <c r="F19" s="35">
        <f>Salary!I28</f>
        <v>5472</v>
      </c>
      <c r="DR19" s="5" t="s">
        <v>6</v>
      </c>
    </row>
    <row r="20" spans="1:122" ht="15" customHeight="1">
      <c r="A20" s="158" t="str">
        <f>"Total Rebate of (US 80C, 80CCC,80CCD(1)) =  "&amp;'Tax Old Regime'!P31</f>
        <v>Total Rebate of (US 80C, 80CCC,80CCD(1)) =  72788</v>
      </c>
      <c r="B20" s="158"/>
      <c r="C20" s="2"/>
      <c r="D20" s="25" t="str">
        <f>"Investable Amount = "&amp;(150000-'Tax Old Regime'!P31)</f>
        <v>Investable Amount = 77212</v>
      </c>
      <c r="E20" s="2"/>
      <c r="F20" s="2"/>
      <c r="DR20" s="5" t="s">
        <v>10</v>
      </c>
    </row>
    <row r="21" spans="1:122" ht="48" customHeight="1">
      <c r="A21" s="152" t="s">
        <v>163</v>
      </c>
      <c r="B21" s="153"/>
      <c r="C21" s="153"/>
      <c r="D21" s="153"/>
      <c r="E21" s="153"/>
      <c r="F21" s="153"/>
    </row>
    <row r="22" spans="1:122" ht="24.75" customHeight="1">
      <c r="A22" s="151" t="s">
        <v>162</v>
      </c>
      <c r="B22" s="151"/>
      <c r="C22" s="151"/>
      <c r="D22" s="151"/>
      <c r="E22" s="151"/>
      <c r="F22" s="151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2:F22"/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3"/>
  <sheetViews>
    <sheetView showGridLines="0" workbookViewId="0">
      <selection activeCell="P33" sqref="P33"/>
    </sheetView>
  </sheetViews>
  <sheetFormatPr defaultColWidth="0" defaultRowHeight="15.75" zeroHeight="1"/>
  <cols>
    <col min="1" max="1" width="4.5703125" style="9" customWidth="1" collapsed="1"/>
    <col min="2" max="2" width="4.5703125" style="8" customWidth="1" collapsed="1"/>
    <col min="3" max="4" width="9.140625" style="8" customWidth="1" collapsed="1"/>
    <col min="5" max="5" width="3.85546875" style="8" customWidth="1" collapsed="1"/>
    <col min="6" max="6" width="5.42578125" style="8" customWidth="1" collapsed="1"/>
    <col min="7" max="7" width="4.5703125" style="8" customWidth="1" collapsed="1"/>
    <col min="8" max="8" width="11.85546875" style="8" customWidth="1" collapsed="1"/>
    <col min="9" max="9" width="5.140625" style="8" customWidth="1" collapsed="1"/>
    <col min="10" max="10" width="11.7109375" style="8" customWidth="1" collapsed="1"/>
    <col min="11" max="11" width="11.42578125" style="8" customWidth="1" collapsed="1"/>
    <col min="12" max="12" width="9.42578125" style="8" customWidth="1" collapsed="1"/>
    <col min="13" max="13" width="4.5703125" style="8" customWidth="1" collapsed="1"/>
    <col min="14" max="14" width="12.7109375" style="8" customWidth="1" collapsed="1"/>
    <col min="15" max="15" width="3.85546875" style="10" customWidth="1" collapsed="1"/>
    <col min="16" max="16" width="19.28515625" style="11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2" customFormat="1" ht="18.75">
      <c r="A1" s="220" t="str">
        <f>Salary!C2</f>
        <v>OFFICE OF THE PRINCIPAL GOVT. HIGHER SECONDARY SCHOOL, GANGIWARA,  CHHINDWARA M.P.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</row>
    <row r="2" spans="1:16" s="12" customFormat="1" ht="21.75" thickBot="1">
      <c r="A2" s="221" t="s">
        <v>203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</row>
    <row r="3" spans="1:16" s="12" customFormat="1" ht="15" customHeight="1">
      <c r="A3" s="98">
        <v>1</v>
      </c>
      <c r="B3" s="222" t="s">
        <v>73</v>
      </c>
      <c r="C3" s="223"/>
      <c r="D3" s="232" t="str">
        <f>Salary!$E$4</f>
        <v>PARMANAND MEGHWAL</v>
      </c>
      <c r="E3" s="232"/>
      <c r="F3" s="232"/>
      <c r="G3" s="232"/>
      <c r="H3" s="232"/>
      <c r="I3" s="232"/>
      <c r="J3" s="99" t="s">
        <v>48</v>
      </c>
      <c r="K3" s="233" t="str">
        <f>Salary!N4</f>
        <v>SENIOR TEACHER</v>
      </c>
      <c r="L3" s="233"/>
      <c r="M3" s="233"/>
      <c r="N3" s="100" t="s">
        <v>17</v>
      </c>
      <c r="O3" s="224" t="str">
        <f>Salary!AA4</f>
        <v>AAAAAAA</v>
      </c>
      <c r="P3" s="225"/>
    </row>
    <row r="4" spans="1:16" s="12" customFormat="1" ht="15" customHeight="1">
      <c r="A4" s="101">
        <v>2</v>
      </c>
      <c r="B4" s="226" t="s">
        <v>74</v>
      </c>
      <c r="C4" s="226"/>
      <c r="D4" s="175"/>
      <c r="E4" s="175"/>
      <c r="F4" s="175"/>
      <c r="G4" s="175"/>
      <c r="H4" s="175"/>
      <c r="I4" s="175"/>
      <c r="J4" s="226"/>
      <c r="K4" s="175"/>
      <c r="L4" s="175"/>
      <c r="M4" s="175"/>
      <c r="N4" s="226"/>
      <c r="O4" s="102" t="s">
        <v>61</v>
      </c>
      <c r="P4" s="103">
        <f>IF(Salary!O1="No",Salary!N28,(Salary!N28+Salary!P28))</f>
        <v>823392</v>
      </c>
    </row>
    <row r="5" spans="1:16" s="12" customFormat="1" ht="15" customHeight="1">
      <c r="A5" s="101">
        <v>3</v>
      </c>
      <c r="B5" s="227" t="s">
        <v>75</v>
      </c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102" t="s">
        <v>61</v>
      </c>
      <c r="P5" s="104">
        <f>'Other Deduction'!B3</f>
        <v>0</v>
      </c>
    </row>
    <row r="6" spans="1:16" s="12" customFormat="1" ht="15" customHeight="1">
      <c r="A6" s="101">
        <v>4</v>
      </c>
      <c r="B6" s="228" t="s">
        <v>18</v>
      </c>
      <c r="C6" s="228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102" t="s">
        <v>61</v>
      </c>
      <c r="P6" s="104">
        <f>P4-P5</f>
        <v>823392</v>
      </c>
    </row>
    <row r="7" spans="1:16" s="12" customFormat="1" ht="15" customHeight="1">
      <c r="A7" s="187">
        <v>5</v>
      </c>
      <c r="B7" s="229" t="s">
        <v>82</v>
      </c>
      <c r="C7" s="230"/>
      <c r="D7" s="230"/>
      <c r="E7" s="230"/>
      <c r="F7" s="230"/>
      <c r="G7" s="230"/>
      <c r="H7" s="230"/>
      <c r="I7" s="230"/>
      <c r="J7" s="230"/>
      <c r="K7" s="230"/>
      <c r="L7" s="205">
        <f>'Other Deduction'!B4</f>
        <v>0</v>
      </c>
      <c r="M7" s="205"/>
      <c r="N7" s="205"/>
      <c r="O7" s="238"/>
      <c r="P7" s="239"/>
    </row>
    <row r="8" spans="1:16" s="12" customFormat="1" ht="15" customHeight="1">
      <c r="A8" s="188"/>
      <c r="B8" s="235" t="s">
        <v>83</v>
      </c>
      <c r="C8" s="236"/>
      <c r="D8" s="236"/>
      <c r="E8" s="236"/>
      <c r="F8" s="236"/>
      <c r="G8" s="236"/>
      <c r="H8" s="236"/>
      <c r="I8" s="236"/>
      <c r="J8" s="236"/>
      <c r="K8" s="236"/>
      <c r="L8" s="205">
        <f>'Other Deduction'!B5</f>
        <v>0</v>
      </c>
      <c r="M8" s="205"/>
      <c r="N8" s="205"/>
      <c r="O8" s="240"/>
      <c r="P8" s="241"/>
    </row>
    <row r="9" spans="1:16" s="12" customFormat="1" ht="15" customHeight="1">
      <c r="A9" s="188"/>
      <c r="B9" s="235" t="s">
        <v>176</v>
      </c>
      <c r="C9" s="236"/>
      <c r="D9" s="236"/>
      <c r="E9" s="236"/>
      <c r="F9" s="236"/>
      <c r="G9" s="236"/>
      <c r="H9" s="236"/>
      <c r="I9" s="236"/>
      <c r="J9" s="236"/>
      <c r="K9" s="237"/>
      <c r="L9" s="177">
        <f>Salary!R28</f>
        <v>2500</v>
      </c>
      <c r="M9" s="178"/>
      <c r="N9" s="179"/>
      <c r="O9" s="242"/>
      <c r="P9" s="243"/>
    </row>
    <row r="10" spans="1:16" s="12" customFormat="1" ht="15" customHeight="1">
      <c r="A10" s="234"/>
      <c r="B10" s="231" t="s">
        <v>175</v>
      </c>
      <c r="C10" s="230"/>
      <c r="D10" s="230"/>
      <c r="E10" s="230"/>
      <c r="F10" s="230"/>
      <c r="G10" s="230"/>
      <c r="H10" s="230"/>
      <c r="I10" s="230"/>
      <c r="J10" s="230"/>
      <c r="K10" s="230"/>
      <c r="L10" s="205">
        <f>IF(P6&lt;50000,P6,50000)</f>
        <v>50000</v>
      </c>
      <c r="M10" s="205"/>
      <c r="N10" s="205"/>
      <c r="O10" s="102" t="s">
        <v>61</v>
      </c>
      <c r="P10" s="104">
        <f>SUM(L7:N10)</f>
        <v>52500</v>
      </c>
    </row>
    <row r="11" spans="1:16" s="12" customFormat="1" ht="15" customHeight="1">
      <c r="A11" s="101">
        <v>6</v>
      </c>
      <c r="B11" s="211" t="s">
        <v>76</v>
      </c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3"/>
      <c r="O11" s="102" t="s">
        <v>61</v>
      </c>
      <c r="P11" s="104">
        <f>P6-P10</f>
        <v>770892</v>
      </c>
    </row>
    <row r="12" spans="1:16" s="12" customFormat="1" ht="15" customHeight="1">
      <c r="A12" s="174">
        <v>7</v>
      </c>
      <c r="B12" s="175" t="s">
        <v>77</v>
      </c>
      <c r="C12" s="175"/>
      <c r="D12" s="175"/>
      <c r="E12" s="175"/>
      <c r="F12" s="175"/>
      <c r="G12" s="175"/>
      <c r="H12" s="175"/>
      <c r="I12" s="175"/>
      <c r="J12" s="176" t="s">
        <v>78</v>
      </c>
      <c r="K12" s="176"/>
      <c r="L12" s="205">
        <f>'Other Deduction'!B6</f>
        <v>0</v>
      </c>
      <c r="M12" s="205"/>
      <c r="N12" s="205"/>
      <c r="O12" s="206"/>
      <c r="P12" s="207"/>
    </row>
    <row r="13" spans="1:16" s="12" customFormat="1" ht="27.75" customHeight="1">
      <c r="A13" s="174"/>
      <c r="B13" s="183" t="s">
        <v>80</v>
      </c>
      <c r="C13" s="184"/>
      <c r="D13" s="180" t="s">
        <v>79</v>
      </c>
      <c r="E13" s="181"/>
      <c r="F13" s="182"/>
      <c r="G13" s="208" t="s">
        <v>81</v>
      </c>
      <c r="H13" s="209"/>
      <c r="I13" s="210"/>
      <c r="J13" s="176" t="s">
        <v>84</v>
      </c>
      <c r="K13" s="176"/>
      <c r="L13" s="176" t="s">
        <v>47</v>
      </c>
      <c r="M13" s="176"/>
      <c r="N13" s="176"/>
      <c r="O13" s="206"/>
      <c r="P13" s="207"/>
    </row>
    <row r="14" spans="1:16" s="12" customFormat="1" ht="15" customHeight="1">
      <c r="A14" s="174"/>
      <c r="B14" s="185"/>
      <c r="C14" s="186"/>
      <c r="D14" s="177">
        <f>ROUND(L12*0.3,0)</f>
        <v>0</v>
      </c>
      <c r="E14" s="178"/>
      <c r="F14" s="179"/>
      <c r="G14" s="177">
        <f>IF((Salary!V28+'Other Deduction'!B9)&gt;200000,200000,(Salary!V28+'Other Deduction'!B9))</f>
        <v>0</v>
      </c>
      <c r="H14" s="178"/>
      <c r="I14" s="179"/>
      <c r="J14" s="205">
        <f>'Other Deduction'!B7</f>
        <v>0</v>
      </c>
      <c r="K14" s="205"/>
      <c r="L14" s="205">
        <f>D14+G14+J14</f>
        <v>0</v>
      </c>
      <c r="M14" s="205"/>
      <c r="N14" s="205"/>
      <c r="O14" s="206"/>
      <c r="P14" s="207"/>
    </row>
    <row r="15" spans="1:16" s="12" customFormat="1" ht="15" customHeight="1">
      <c r="A15" s="101"/>
      <c r="B15" s="211" t="s">
        <v>85</v>
      </c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3"/>
      <c r="O15" s="102" t="s">
        <v>61</v>
      </c>
      <c r="P15" s="104">
        <f>L12-L14</f>
        <v>0</v>
      </c>
    </row>
    <row r="16" spans="1:16" s="12" customFormat="1" ht="15" customHeight="1">
      <c r="A16" s="101">
        <v>8</v>
      </c>
      <c r="B16" s="211" t="s">
        <v>86</v>
      </c>
      <c r="C16" s="212"/>
      <c r="D16" s="212"/>
      <c r="E16" s="212"/>
      <c r="F16" s="212"/>
      <c r="G16" s="212"/>
      <c r="H16" s="212"/>
      <c r="I16" s="212"/>
      <c r="J16" s="212"/>
      <c r="K16" s="212"/>
      <c r="L16" s="212"/>
      <c r="M16" s="212"/>
      <c r="N16" s="213"/>
      <c r="O16" s="102" t="s">
        <v>61</v>
      </c>
      <c r="P16" s="104">
        <f>P11+P15</f>
        <v>770892</v>
      </c>
    </row>
    <row r="17" spans="1:16" s="12" customFormat="1" ht="15" customHeight="1">
      <c r="A17" s="101">
        <v>9</v>
      </c>
      <c r="B17" s="175" t="s">
        <v>87</v>
      </c>
      <c r="C17" s="175"/>
      <c r="D17" s="175"/>
      <c r="E17" s="175"/>
      <c r="F17" s="175"/>
      <c r="G17" s="175"/>
      <c r="H17" s="175"/>
      <c r="I17" s="175"/>
      <c r="J17" s="175"/>
      <c r="K17" s="175"/>
      <c r="L17" s="175"/>
      <c r="M17" s="175"/>
      <c r="N17" s="175"/>
      <c r="O17" s="102" t="s">
        <v>61</v>
      </c>
      <c r="P17" s="104">
        <f>'Other Deduction'!E3+'Other Deduction'!E4</f>
        <v>0</v>
      </c>
    </row>
    <row r="18" spans="1:16" s="12" customFormat="1" ht="15" customHeight="1">
      <c r="A18" s="101">
        <v>10</v>
      </c>
      <c r="B18" s="175" t="s">
        <v>88</v>
      </c>
      <c r="C18" s="175"/>
      <c r="D18" s="175"/>
      <c r="E18" s="175"/>
      <c r="F18" s="175"/>
      <c r="G18" s="175"/>
      <c r="H18" s="175"/>
      <c r="I18" s="175"/>
      <c r="J18" s="175"/>
      <c r="K18" s="175"/>
      <c r="L18" s="175"/>
      <c r="M18" s="175"/>
      <c r="N18" s="175"/>
      <c r="O18" s="102" t="s">
        <v>61</v>
      </c>
      <c r="P18" s="103">
        <f>P16+P17</f>
        <v>770892</v>
      </c>
    </row>
    <row r="19" spans="1:16" s="12" customFormat="1" ht="15" customHeight="1">
      <c r="A19" s="187">
        <v>11</v>
      </c>
      <c r="B19" s="199" t="s">
        <v>89</v>
      </c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215"/>
    </row>
    <row r="20" spans="1:16" s="12" customFormat="1" ht="18" customHeight="1">
      <c r="A20" s="188"/>
      <c r="B20" s="199" t="s">
        <v>135</v>
      </c>
      <c r="C20" s="199"/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N20" s="199"/>
      <c r="O20" s="199"/>
      <c r="P20" s="215"/>
    </row>
    <row r="21" spans="1:16" s="12" customFormat="1" ht="14.25" customHeight="1">
      <c r="A21" s="188"/>
      <c r="B21" s="105">
        <v>1</v>
      </c>
      <c r="C21" s="189" t="s">
        <v>133</v>
      </c>
      <c r="D21" s="190"/>
      <c r="E21" s="190"/>
      <c r="F21" s="190"/>
      <c r="G21" s="102" t="s">
        <v>61</v>
      </c>
      <c r="H21" s="106">
        <f>IF(Salary!O1&lt;&gt;"No",Salary!O28,0)</f>
        <v>71744</v>
      </c>
      <c r="I21" s="105">
        <v>10</v>
      </c>
      <c r="J21" s="171" t="s">
        <v>60</v>
      </c>
      <c r="K21" s="172"/>
      <c r="L21" s="173"/>
      <c r="M21" s="102" t="s">
        <v>61</v>
      </c>
      <c r="N21" s="106">
        <f>'Other Deduction'!E6</f>
        <v>0</v>
      </c>
      <c r="O21" s="238"/>
      <c r="P21" s="254"/>
    </row>
    <row r="22" spans="1:16" s="12" customFormat="1" ht="26.25" customHeight="1">
      <c r="A22" s="188"/>
      <c r="B22" s="105">
        <v>2</v>
      </c>
      <c r="C22" s="189" t="s">
        <v>56</v>
      </c>
      <c r="D22" s="190"/>
      <c r="E22" s="190"/>
      <c r="F22" s="190"/>
      <c r="G22" s="102" t="s">
        <v>61</v>
      </c>
      <c r="H22" s="106">
        <f>Salary!S28+'Other Deduction'!B10</f>
        <v>0</v>
      </c>
      <c r="I22" s="105">
        <v>11</v>
      </c>
      <c r="J22" s="196" t="s">
        <v>62</v>
      </c>
      <c r="K22" s="197"/>
      <c r="L22" s="198"/>
      <c r="M22" s="102" t="s">
        <v>61</v>
      </c>
      <c r="N22" s="107">
        <f>'Other Deduction'!B15</f>
        <v>0</v>
      </c>
      <c r="O22" s="240"/>
      <c r="P22" s="255"/>
    </row>
    <row r="23" spans="1:16" s="12" customFormat="1" ht="14.25" customHeight="1">
      <c r="A23" s="188"/>
      <c r="B23" s="105">
        <v>3</v>
      </c>
      <c r="C23" s="189" t="s">
        <v>57</v>
      </c>
      <c r="D23" s="190"/>
      <c r="E23" s="190"/>
      <c r="F23" s="190"/>
      <c r="G23" s="102" t="s">
        <v>61</v>
      </c>
      <c r="H23" s="106">
        <f>'Other Deduction'!B14</f>
        <v>0</v>
      </c>
      <c r="I23" s="105">
        <v>12</v>
      </c>
      <c r="J23" s="196" t="s">
        <v>63</v>
      </c>
      <c r="K23" s="197"/>
      <c r="L23" s="198"/>
      <c r="M23" s="102" t="s">
        <v>61</v>
      </c>
      <c r="N23" s="107">
        <f>'Other Deduction'!B12</f>
        <v>0</v>
      </c>
      <c r="O23" s="240"/>
      <c r="P23" s="255"/>
    </row>
    <row r="24" spans="1:16" s="12" customFormat="1" ht="15" customHeight="1">
      <c r="A24" s="188"/>
      <c r="B24" s="105">
        <v>4</v>
      </c>
      <c r="C24" s="189" t="s">
        <v>69</v>
      </c>
      <c r="D24" s="190"/>
      <c r="E24" s="190"/>
      <c r="F24" s="190"/>
      <c r="G24" s="102" t="s">
        <v>61</v>
      </c>
      <c r="H24" s="106">
        <f>'Other Deduction'!B16</f>
        <v>0</v>
      </c>
      <c r="I24" s="105">
        <v>13</v>
      </c>
      <c r="J24" s="196" t="s">
        <v>64</v>
      </c>
      <c r="K24" s="197"/>
      <c r="L24" s="198"/>
      <c r="M24" s="102" t="s">
        <v>61</v>
      </c>
      <c r="N24" s="106">
        <f>'Other Deduction'!E15</f>
        <v>0</v>
      </c>
      <c r="O24" s="240"/>
      <c r="P24" s="255"/>
    </row>
    <row r="25" spans="1:16" s="12" customFormat="1" ht="15.75" customHeight="1">
      <c r="A25" s="188"/>
      <c r="B25" s="105">
        <v>5</v>
      </c>
      <c r="C25" s="189" t="s">
        <v>70</v>
      </c>
      <c r="D25" s="190"/>
      <c r="E25" s="190"/>
      <c r="F25" s="190"/>
      <c r="G25" s="102" t="s">
        <v>61</v>
      </c>
      <c r="H25" s="106">
        <f>'Other Deduction'!B17</f>
        <v>0</v>
      </c>
      <c r="I25" s="105">
        <v>14</v>
      </c>
      <c r="J25" s="171" t="s">
        <v>65</v>
      </c>
      <c r="K25" s="194"/>
      <c r="L25" s="195"/>
      <c r="M25" s="102" t="s">
        <v>61</v>
      </c>
      <c r="N25" s="106">
        <f>'Other Deduction'!E16</f>
        <v>0</v>
      </c>
      <c r="O25" s="240"/>
      <c r="P25" s="255"/>
    </row>
    <row r="26" spans="1:16" s="12" customFormat="1" ht="15.75" customHeight="1">
      <c r="A26" s="188"/>
      <c r="B26" s="105">
        <v>6</v>
      </c>
      <c r="C26" s="191" t="s">
        <v>124</v>
      </c>
      <c r="D26" s="192"/>
      <c r="E26" s="192"/>
      <c r="F26" s="193"/>
      <c r="G26" s="102" t="s">
        <v>61</v>
      </c>
      <c r="H26" s="106">
        <f>IF(Salary!O1&lt;&gt;"Yes",Salary!O28,0)</f>
        <v>0</v>
      </c>
      <c r="I26" s="105">
        <v>15</v>
      </c>
      <c r="J26" s="171" t="s">
        <v>66</v>
      </c>
      <c r="K26" s="194"/>
      <c r="L26" s="195"/>
      <c r="M26" s="102" t="s">
        <v>61</v>
      </c>
      <c r="N26" s="106">
        <f>'Other Deduction'!B11</f>
        <v>0</v>
      </c>
      <c r="O26" s="240"/>
      <c r="P26" s="255"/>
    </row>
    <row r="27" spans="1:16" s="12" customFormat="1" ht="15" customHeight="1">
      <c r="A27" s="188"/>
      <c r="B27" s="105">
        <v>7</v>
      </c>
      <c r="C27" s="191" t="s">
        <v>58</v>
      </c>
      <c r="D27" s="192"/>
      <c r="E27" s="192"/>
      <c r="F27" s="193"/>
      <c r="G27" s="102" t="s">
        <v>61</v>
      </c>
      <c r="H27" s="107">
        <f>Salary!Q28</f>
        <v>1044</v>
      </c>
      <c r="I27" s="105">
        <v>16</v>
      </c>
      <c r="J27" s="171" t="s">
        <v>67</v>
      </c>
      <c r="K27" s="172"/>
      <c r="L27" s="173"/>
      <c r="M27" s="102" t="s">
        <v>61</v>
      </c>
      <c r="N27" s="106">
        <f>'Other Deduction'!E5</f>
        <v>0</v>
      </c>
      <c r="O27" s="240"/>
      <c r="P27" s="255"/>
    </row>
    <row r="28" spans="1:16" s="12" customFormat="1" ht="15.75" customHeight="1">
      <c r="A28" s="188"/>
      <c r="B28" s="105">
        <v>8</v>
      </c>
      <c r="C28" s="189" t="s">
        <v>59</v>
      </c>
      <c r="D28" s="189"/>
      <c r="E28" s="189"/>
      <c r="F28" s="189"/>
      <c r="G28" s="102" t="s">
        <v>61</v>
      </c>
      <c r="H28" s="107">
        <f>'Other Deduction'!B13</f>
        <v>0</v>
      </c>
      <c r="I28" s="105">
        <v>17</v>
      </c>
      <c r="J28" s="196" t="s">
        <v>68</v>
      </c>
      <c r="K28" s="197"/>
      <c r="L28" s="198"/>
      <c r="M28" s="102" t="s">
        <v>61</v>
      </c>
      <c r="N28" s="106">
        <f>'Other Deduction'!B18</f>
        <v>0</v>
      </c>
      <c r="O28" s="240"/>
      <c r="P28" s="255"/>
    </row>
    <row r="29" spans="1:16" s="12" customFormat="1" ht="27" customHeight="1">
      <c r="A29" s="188"/>
      <c r="B29" s="108">
        <v>9</v>
      </c>
      <c r="C29" s="244" t="s">
        <v>165</v>
      </c>
      <c r="D29" s="244"/>
      <c r="E29" s="244"/>
      <c r="F29" s="244"/>
      <c r="G29" s="109" t="s">
        <v>61</v>
      </c>
      <c r="H29" s="110">
        <f>'Other Deduction'!B8</f>
        <v>0</v>
      </c>
      <c r="I29" s="108">
        <v>18</v>
      </c>
      <c r="J29" s="219"/>
      <c r="K29" s="219"/>
      <c r="L29" s="219"/>
      <c r="M29" s="109" t="s">
        <v>61</v>
      </c>
      <c r="N29" s="106"/>
      <c r="O29" s="240"/>
      <c r="P29" s="255"/>
    </row>
    <row r="30" spans="1:16" s="12" customFormat="1" ht="15" customHeight="1">
      <c r="A30" s="188"/>
      <c r="B30" s="216" t="s">
        <v>72</v>
      </c>
      <c r="C30" s="217"/>
      <c r="D30" s="217"/>
      <c r="E30" s="217"/>
      <c r="F30" s="217"/>
      <c r="G30" s="217"/>
      <c r="H30" s="217"/>
      <c r="I30" s="217"/>
      <c r="J30" s="217"/>
      <c r="K30" s="217"/>
      <c r="L30" s="218"/>
      <c r="M30" s="109" t="s">
        <v>61</v>
      </c>
      <c r="N30" s="111">
        <f>SUM(H21:H29)+SUM(N21:N29)</f>
        <v>72788</v>
      </c>
      <c r="O30" s="242"/>
      <c r="P30" s="256"/>
    </row>
    <row r="31" spans="1:16" s="12" customFormat="1" ht="16.5" customHeight="1">
      <c r="A31" s="188"/>
      <c r="B31" s="245" t="s">
        <v>71</v>
      </c>
      <c r="C31" s="245"/>
      <c r="D31" s="245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109" t="s">
        <v>61</v>
      </c>
      <c r="P31" s="103">
        <f>IF(N30&lt;150001,ROUND(N30,0),150000)</f>
        <v>72788</v>
      </c>
    </row>
    <row r="32" spans="1:16" s="12" customFormat="1" ht="17.25" customHeight="1">
      <c r="A32" s="112"/>
      <c r="B32" s="165" t="s">
        <v>204</v>
      </c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6"/>
      <c r="N32" s="167"/>
      <c r="O32" s="109" t="s">
        <v>61</v>
      </c>
      <c r="P32" s="103">
        <f>IF(Salary!O1="Yes",Salary!P28,0)</f>
        <v>100448</v>
      </c>
    </row>
    <row r="33" spans="1:16" s="12" customFormat="1" ht="15" customHeight="1">
      <c r="A33" s="112"/>
      <c r="B33" s="162" t="s">
        <v>136</v>
      </c>
      <c r="C33" s="163"/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164"/>
      <c r="O33" s="109" t="s">
        <v>61</v>
      </c>
      <c r="P33" s="103">
        <f>'Other Deduction'!E7</f>
        <v>50000</v>
      </c>
    </row>
    <row r="34" spans="1:16" s="12" customFormat="1" ht="15" customHeight="1">
      <c r="A34" s="112"/>
      <c r="B34" s="168" t="s">
        <v>137</v>
      </c>
      <c r="C34" s="169"/>
      <c r="D34" s="169"/>
      <c r="E34" s="169"/>
      <c r="F34" s="169"/>
      <c r="G34" s="169"/>
      <c r="H34" s="169"/>
      <c r="I34" s="169"/>
      <c r="J34" s="169"/>
      <c r="K34" s="169"/>
      <c r="L34" s="169"/>
      <c r="M34" s="169"/>
      <c r="N34" s="170"/>
      <c r="O34" s="109"/>
      <c r="P34" s="103">
        <f>P31+P32+P33</f>
        <v>223236</v>
      </c>
    </row>
    <row r="35" spans="1:16" s="12" customFormat="1" ht="15" customHeight="1">
      <c r="A35" s="187">
        <v>12</v>
      </c>
      <c r="B35" s="246" t="s">
        <v>90</v>
      </c>
      <c r="C35" s="246"/>
      <c r="D35" s="246"/>
      <c r="E35" s="246"/>
      <c r="F35" s="246"/>
      <c r="G35" s="246"/>
      <c r="H35" s="246"/>
      <c r="I35" s="246"/>
      <c r="J35" s="246"/>
      <c r="K35" s="246"/>
      <c r="L35" s="246"/>
      <c r="M35" s="246"/>
      <c r="N35" s="246"/>
      <c r="O35" s="246"/>
      <c r="P35" s="247"/>
    </row>
    <row r="36" spans="1:16" s="12" customFormat="1" ht="27.75" customHeight="1">
      <c r="A36" s="188"/>
      <c r="B36" s="191" t="s">
        <v>91</v>
      </c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9"/>
      <c r="O36" s="109" t="s">
        <v>61</v>
      </c>
      <c r="P36" s="104">
        <f>'Other Deduction'!E8</f>
        <v>0</v>
      </c>
    </row>
    <row r="37" spans="1:16" s="12" customFormat="1" ht="17.25" customHeight="1">
      <c r="A37" s="188"/>
      <c r="B37" s="250" t="s">
        <v>158</v>
      </c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109" t="s">
        <v>61</v>
      </c>
      <c r="P37" s="104">
        <f>'Other Deduction'!E9</f>
        <v>0</v>
      </c>
    </row>
    <row r="38" spans="1:16" s="12" customFormat="1" ht="18" customHeight="1">
      <c r="A38" s="188"/>
      <c r="B38" s="250" t="s">
        <v>157</v>
      </c>
      <c r="C38" s="250"/>
      <c r="D38" s="25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109" t="s">
        <v>61</v>
      </c>
      <c r="P38" s="104">
        <f>'Other Deduction'!E10</f>
        <v>0</v>
      </c>
    </row>
    <row r="39" spans="1:16" s="12" customFormat="1" ht="16.5" customHeight="1">
      <c r="A39" s="188"/>
      <c r="B39" s="250" t="s">
        <v>156</v>
      </c>
      <c r="C39" s="250"/>
      <c r="D39" s="25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109" t="s">
        <v>61</v>
      </c>
      <c r="P39" s="104">
        <f>'Other Deduction'!E11</f>
        <v>0</v>
      </c>
    </row>
    <row r="40" spans="1:16" s="12" customFormat="1" ht="16.5" customHeight="1">
      <c r="A40" s="188"/>
      <c r="B40" s="250" t="s">
        <v>155</v>
      </c>
      <c r="C40" s="250"/>
      <c r="D40" s="25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109" t="s">
        <v>61</v>
      </c>
      <c r="P40" s="104">
        <f>'Other Deduction'!E12</f>
        <v>0</v>
      </c>
    </row>
    <row r="41" spans="1:16" s="12" customFormat="1" ht="15" customHeight="1">
      <c r="A41" s="188"/>
      <c r="B41" s="191" t="s">
        <v>154</v>
      </c>
      <c r="C41" s="248"/>
      <c r="D41" s="248"/>
      <c r="E41" s="248"/>
      <c r="F41" s="248"/>
      <c r="G41" s="248"/>
      <c r="H41" s="248"/>
      <c r="I41" s="248"/>
      <c r="J41" s="248"/>
      <c r="K41" s="248"/>
      <c r="L41" s="248"/>
      <c r="M41" s="248"/>
      <c r="N41" s="249"/>
      <c r="O41" s="109" t="s">
        <v>61</v>
      </c>
      <c r="P41" s="104">
        <f>'Other Deduction'!E13</f>
        <v>0</v>
      </c>
    </row>
    <row r="42" spans="1:16" s="12" customFormat="1" ht="17.25" customHeight="1">
      <c r="A42" s="188"/>
      <c r="B42" s="251" t="s">
        <v>153</v>
      </c>
      <c r="C42" s="252"/>
      <c r="D42" s="252"/>
      <c r="E42" s="252"/>
      <c r="F42" s="252"/>
      <c r="G42" s="252"/>
      <c r="H42" s="252"/>
      <c r="I42" s="252"/>
      <c r="J42" s="252"/>
      <c r="K42" s="252"/>
      <c r="L42" s="252"/>
      <c r="M42" s="252"/>
      <c r="N42" s="253"/>
      <c r="O42" s="109" t="s">
        <v>61</v>
      </c>
      <c r="P42" s="104">
        <f>IF(Salary!E1&lt;&gt;"Yes",IF('Other Deduction'!E3&lt;50001,'Other Deduction'!E3,50000),IF('Other Deduction'!E3&lt;10001,'Other Deduction'!E3,10000))</f>
        <v>0</v>
      </c>
    </row>
    <row r="43" spans="1:16" s="12" customFormat="1" ht="15.75" customHeight="1">
      <c r="A43" s="188"/>
      <c r="B43" s="251" t="s">
        <v>152</v>
      </c>
      <c r="C43" s="252"/>
      <c r="D43" s="252"/>
      <c r="E43" s="252"/>
      <c r="F43" s="252"/>
      <c r="G43" s="252"/>
      <c r="H43" s="252"/>
      <c r="I43" s="252"/>
      <c r="J43" s="252"/>
      <c r="K43" s="252"/>
      <c r="L43" s="252"/>
      <c r="M43" s="252"/>
      <c r="N43" s="253"/>
      <c r="O43" s="109" t="s">
        <v>61</v>
      </c>
      <c r="P43" s="104">
        <f>'Other Deduction'!E14</f>
        <v>0</v>
      </c>
    </row>
    <row r="44" spans="1:16" s="12" customFormat="1" ht="15" customHeight="1">
      <c r="A44" s="234"/>
      <c r="B44" s="245" t="s">
        <v>92</v>
      </c>
      <c r="C44" s="245"/>
      <c r="D44" s="245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109" t="s">
        <v>61</v>
      </c>
      <c r="P44" s="113">
        <f>SUM(P36:P43)</f>
        <v>0</v>
      </c>
    </row>
    <row r="45" spans="1:16" s="12" customFormat="1" ht="15" customHeight="1">
      <c r="A45" s="101">
        <v>13</v>
      </c>
      <c r="B45" s="199" t="s">
        <v>93</v>
      </c>
      <c r="C45" s="199"/>
      <c r="D45" s="199"/>
      <c r="E45" s="199"/>
      <c r="F45" s="199"/>
      <c r="G45" s="199"/>
      <c r="H45" s="199"/>
      <c r="I45" s="199"/>
      <c r="J45" s="199"/>
      <c r="K45" s="199"/>
      <c r="L45" s="199"/>
      <c r="M45" s="199"/>
      <c r="N45" s="199"/>
      <c r="O45" s="109" t="s">
        <v>61</v>
      </c>
      <c r="P45" s="104">
        <f>P34+P44</f>
        <v>223236</v>
      </c>
    </row>
    <row r="46" spans="1:16" s="12" customFormat="1" ht="15" customHeight="1">
      <c r="A46" s="101">
        <v>14</v>
      </c>
      <c r="B46" s="175" t="s">
        <v>94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09" t="s">
        <v>61</v>
      </c>
      <c r="P46" s="104">
        <f>(P18-P45)</f>
        <v>547656</v>
      </c>
    </row>
    <row r="47" spans="1:16" s="12" customFormat="1">
      <c r="A47" s="101">
        <v>15</v>
      </c>
      <c r="B47" s="199" t="s">
        <v>95</v>
      </c>
      <c r="C47" s="199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09" t="s">
        <v>61</v>
      </c>
      <c r="P47" s="103">
        <f>ROUND(P46,-1)</f>
        <v>547660</v>
      </c>
    </row>
    <row r="48" spans="1:16" s="12" customFormat="1" ht="15" customHeight="1">
      <c r="A48" s="187">
        <v>16</v>
      </c>
      <c r="B48" s="175" t="s">
        <v>96</v>
      </c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75"/>
      <c r="P48" s="279"/>
    </row>
    <row r="49" spans="1:16" s="12" customFormat="1" ht="15" customHeight="1">
      <c r="A49" s="188"/>
      <c r="B49" s="280" t="s">
        <v>98</v>
      </c>
      <c r="C49" s="280"/>
      <c r="D49" s="280"/>
      <c r="E49" s="280"/>
      <c r="F49" s="280"/>
      <c r="G49" s="280" t="s">
        <v>97</v>
      </c>
      <c r="H49" s="280"/>
      <c r="I49" s="280"/>
      <c r="J49" s="280"/>
      <c r="K49" s="281" t="s">
        <v>99</v>
      </c>
      <c r="L49" s="282"/>
      <c r="M49" s="282"/>
      <c r="N49" s="283"/>
      <c r="O49" s="114"/>
      <c r="P49" s="115"/>
    </row>
    <row r="50" spans="1:16" s="12" customFormat="1" ht="15" customHeight="1">
      <c r="A50" s="188"/>
      <c r="B50" s="201" t="s">
        <v>100</v>
      </c>
      <c r="C50" s="202"/>
      <c r="D50" s="203"/>
      <c r="E50" s="200" t="s">
        <v>19</v>
      </c>
      <c r="F50" s="200"/>
      <c r="G50" s="201" t="s">
        <v>102</v>
      </c>
      <c r="H50" s="202"/>
      <c r="I50" s="203"/>
      <c r="J50" s="116" t="s">
        <v>19</v>
      </c>
      <c r="K50" s="201"/>
      <c r="L50" s="202"/>
      <c r="M50" s="203"/>
      <c r="N50" s="116"/>
      <c r="O50" s="109" t="s">
        <v>61</v>
      </c>
      <c r="P50" s="117">
        <v>0</v>
      </c>
    </row>
    <row r="51" spans="1:16" s="12" customFormat="1" ht="15" customHeight="1">
      <c r="A51" s="188"/>
      <c r="B51" s="201" t="s">
        <v>20</v>
      </c>
      <c r="C51" s="202"/>
      <c r="D51" s="203"/>
      <c r="E51" s="214">
        <v>0.05</v>
      </c>
      <c r="F51" s="200"/>
      <c r="G51" s="200" t="s">
        <v>34</v>
      </c>
      <c r="H51" s="200"/>
      <c r="I51" s="200"/>
      <c r="J51" s="118">
        <v>0.05</v>
      </c>
      <c r="K51" s="201" t="s">
        <v>101</v>
      </c>
      <c r="L51" s="202"/>
      <c r="M51" s="203"/>
      <c r="N51" s="116" t="s">
        <v>19</v>
      </c>
      <c r="O51" s="109" t="s">
        <v>61</v>
      </c>
      <c r="P51" s="117">
        <f>ROUND(IF(Salary!E1="no",IF(P47&lt;250001,0,IF(P47&gt;500000,12500,((P47-250000)*0.05))),IF(P47&lt;300001,0,IF(P47&gt;500000,10000,((P47-300000)*0.05)))),0)</f>
        <v>12500</v>
      </c>
    </row>
    <row r="52" spans="1:16" s="12" customFormat="1" ht="15" customHeight="1">
      <c r="A52" s="188"/>
      <c r="B52" s="201" t="s">
        <v>21</v>
      </c>
      <c r="C52" s="202"/>
      <c r="D52" s="203"/>
      <c r="E52" s="214">
        <v>0.2</v>
      </c>
      <c r="F52" s="200"/>
      <c r="G52" s="200" t="s">
        <v>21</v>
      </c>
      <c r="H52" s="200"/>
      <c r="I52" s="200"/>
      <c r="J52" s="118">
        <v>0.2</v>
      </c>
      <c r="K52" s="201" t="s">
        <v>21</v>
      </c>
      <c r="L52" s="202"/>
      <c r="M52" s="203"/>
      <c r="N52" s="118">
        <v>0.2</v>
      </c>
      <c r="O52" s="109" t="s">
        <v>61</v>
      </c>
      <c r="P52" s="117">
        <f>IF(P47&lt;500001,0,IF(P47&gt;1000000,100000,((P47-500000)*0.2)))</f>
        <v>9532</v>
      </c>
    </row>
    <row r="53" spans="1:16" s="12" customFormat="1" ht="15" customHeight="1">
      <c r="A53" s="188"/>
      <c r="B53" s="201" t="s">
        <v>103</v>
      </c>
      <c r="C53" s="202"/>
      <c r="D53" s="203"/>
      <c r="E53" s="214">
        <v>0.3</v>
      </c>
      <c r="F53" s="200"/>
      <c r="G53" s="200" t="s">
        <v>104</v>
      </c>
      <c r="H53" s="200"/>
      <c r="I53" s="200"/>
      <c r="J53" s="118">
        <v>0.3</v>
      </c>
      <c r="K53" s="201" t="s">
        <v>104</v>
      </c>
      <c r="L53" s="202"/>
      <c r="M53" s="203"/>
      <c r="N53" s="118">
        <v>0.3</v>
      </c>
      <c r="O53" s="109" t="s">
        <v>61</v>
      </c>
      <c r="P53" s="117">
        <f>IF(P47&lt;1000001,0,((P47-1000000)*0.3))</f>
        <v>0</v>
      </c>
    </row>
    <row r="54" spans="1:16" s="12" customFormat="1" ht="15" customHeight="1">
      <c r="A54" s="188"/>
      <c r="B54" s="272" t="s">
        <v>105</v>
      </c>
      <c r="C54" s="273"/>
      <c r="D54" s="273"/>
      <c r="E54" s="273"/>
      <c r="F54" s="273"/>
      <c r="G54" s="273"/>
      <c r="H54" s="273"/>
      <c r="I54" s="273"/>
      <c r="J54" s="273"/>
      <c r="K54" s="273"/>
      <c r="L54" s="273"/>
      <c r="M54" s="273"/>
      <c r="N54" s="274"/>
      <c r="O54" s="109" t="s">
        <v>61</v>
      </c>
      <c r="P54" s="103">
        <f>SUM(P50:P53)</f>
        <v>22032</v>
      </c>
    </row>
    <row r="55" spans="1:16" s="12" customFormat="1" ht="15" customHeight="1">
      <c r="A55" s="188"/>
      <c r="B55" s="272" t="s">
        <v>106</v>
      </c>
      <c r="C55" s="273"/>
      <c r="D55" s="273"/>
      <c r="E55" s="273"/>
      <c r="F55" s="273"/>
      <c r="G55" s="273"/>
      <c r="H55" s="273"/>
      <c r="I55" s="273"/>
      <c r="J55" s="273"/>
      <c r="K55" s="273"/>
      <c r="L55" s="273"/>
      <c r="M55" s="273"/>
      <c r="N55" s="274"/>
      <c r="O55" s="109" t="s">
        <v>61</v>
      </c>
      <c r="P55" s="104">
        <f>IF(P47&gt;500000,0,IF(P54&lt;12501,P54,12500))</f>
        <v>0</v>
      </c>
    </row>
    <row r="56" spans="1:16" s="12" customFormat="1" ht="15" customHeight="1">
      <c r="A56" s="188"/>
      <c r="B56" s="272" t="s">
        <v>107</v>
      </c>
      <c r="C56" s="273"/>
      <c r="D56" s="273"/>
      <c r="E56" s="273"/>
      <c r="F56" s="273"/>
      <c r="G56" s="273"/>
      <c r="H56" s="273"/>
      <c r="I56" s="273"/>
      <c r="J56" s="273"/>
      <c r="K56" s="273"/>
      <c r="L56" s="273"/>
      <c r="M56" s="273"/>
      <c r="N56" s="274"/>
      <c r="O56" s="109" t="s">
        <v>61</v>
      </c>
      <c r="P56" s="103">
        <f>P54-P55</f>
        <v>22032</v>
      </c>
    </row>
    <row r="57" spans="1:16" s="12" customFormat="1" ht="15" customHeight="1">
      <c r="A57" s="188"/>
      <c r="B57" s="275" t="s">
        <v>108</v>
      </c>
      <c r="C57" s="275"/>
      <c r="D57" s="275"/>
      <c r="E57" s="275"/>
      <c r="F57" s="275"/>
      <c r="G57" s="275"/>
      <c r="H57" s="275"/>
      <c r="I57" s="275"/>
      <c r="J57" s="275"/>
      <c r="K57" s="275"/>
      <c r="L57" s="275"/>
      <c r="M57" s="275"/>
      <c r="N57" s="275"/>
      <c r="O57" s="109" t="s">
        <v>61</v>
      </c>
      <c r="P57" s="104">
        <f>ROUND(P56*0.04,0)</f>
        <v>881</v>
      </c>
    </row>
    <row r="58" spans="1:16" s="12" customFormat="1" ht="15" customHeight="1">
      <c r="A58" s="234"/>
      <c r="B58" s="276" t="s">
        <v>109</v>
      </c>
      <c r="C58" s="277"/>
      <c r="D58" s="277"/>
      <c r="E58" s="277"/>
      <c r="F58" s="277"/>
      <c r="G58" s="277"/>
      <c r="H58" s="277"/>
      <c r="I58" s="277"/>
      <c r="J58" s="277"/>
      <c r="K58" s="277"/>
      <c r="L58" s="277"/>
      <c r="M58" s="277"/>
      <c r="N58" s="278"/>
      <c r="O58" s="109" t="s">
        <v>61</v>
      </c>
      <c r="P58" s="103">
        <f>SUM(P56:P57)</f>
        <v>22913</v>
      </c>
    </row>
    <row r="59" spans="1:16" s="12" customFormat="1" ht="15" customHeight="1">
      <c r="A59" s="101">
        <v>17</v>
      </c>
      <c r="B59" s="235" t="s">
        <v>110</v>
      </c>
      <c r="C59" s="236"/>
      <c r="D59" s="236"/>
      <c r="E59" s="236"/>
      <c r="F59" s="236"/>
      <c r="G59" s="236"/>
      <c r="H59" s="236"/>
      <c r="I59" s="236"/>
      <c r="J59" s="236"/>
      <c r="K59" s="236"/>
      <c r="L59" s="236"/>
      <c r="M59" s="236"/>
      <c r="N59" s="237"/>
      <c r="O59" s="109" t="s">
        <v>61</v>
      </c>
      <c r="P59" s="104">
        <f>'Other Deduction'!E17</f>
        <v>0</v>
      </c>
    </row>
    <row r="60" spans="1:16" s="12" customFormat="1" ht="15" customHeight="1">
      <c r="A60" s="101">
        <v>18</v>
      </c>
      <c r="B60" s="199" t="s">
        <v>111</v>
      </c>
      <c r="C60" s="199"/>
      <c r="D60" s="199"/>
      <c r="E60" s="199"/>
      <c r="F60" s="199"/>
      <c r="G60" s="199"/>
      <c r="H60" s="199"/>
      <c r="I60" s="199"/>
      <c r="J60" s="199"/>
      <c r="K60" s="199"/>
      <c r="L60" s="199"/>
      <c r="M60" s="199"/>
      <c r="N60" s="199"/>
      <c r="O60" s="109" t="s">
        <v>61</v>
      </c>
      <c r="P60" s="103">
        <f>P58-P59</f>
        <v>22913</v>
      </c>
    </row>
    <row r="61" spans="1:16" ht="48" customHeight="1">
      <c r="A61" s="187">
        <v>19</v>
      </c>
      <c r="B61" s="265" t="s">
        <v>112</v>
      </c>
      <c r="C61" s="266"/>
      <c r="D61" s="267"/>
      <c r="E61" s="262" t="s">
        <v>113</v>
      </c>
      <c r="F61" s="262"/>
      <c r="G61" s="262"/>
      <c r="H61" s="262"/>
      <c r="I61" s="263" t="s">
        <v>200</v>
      </c>
      <c r="J61" s="264"/>
      <c r="K61" s="119" t="s">
        <v>201</v>
      </c>
      <c r="L61" s="263" t="s">
        <v>202</v>
      </c>
      <c r="M61" s="264"/>
      <c r="N61" s="119" t="s">
        <v>114</v>
      </c>
      <c r="O61" s="263" t="s">
        <v>115</v>
      </c>
      <c r="P61" s="285"/>
    </row>
    <row r="62" spans="1:16">
      <c r="A62" s="234"/>
      <c r="B62" s="268"/>
      <c r="C62" s="269"/>
      <c r="D62" s="270"/>
      <c r="E62" s="257">
        <f>SUM(Salary!W8:W14)</f>
        <v>7000</v>
      </c>
      <c r="F62" s="257"/>
      <c r="G62" s="257"/>
      <c r="H62" s="257"/>
      <c r="I62" s="257">
        <f>SUM(Salary!W15:W17)</f>
        <v>3000</v>
      </c>
      <c r="J62" s="257"/>
      <c r="K62" s="120">
        <f>Salary!W18</f>
        <v>1000</v>
      </c>
      <c r="L62" s="257">
        <f>Salary!W19</f>
        <v>1000</v>
      </c>
      <c r="M62" s="257"/>
      <c r="N62" s="121">
        <f>SUM(Salary!W20:W27)+'Other Deduction'!E18</f>
        <v>0</v>
      </c>
      <c r="O62" s="258">
        <f>E62+I62+K62+L62+N62</f>
        <v>12000</v>
      </c>
      <c r="P62" s="259"/>
    </row>
    <row r="63" spans="1:16" ht="16.5" thickBot="1">
      <c r="A63" s="260" t="str">
        <f>IF(P60&gt;O62,"Income Tax Payable",IF(P60&lt;O62,"Income Tax Refundable","Income Tax Payble/Refundable"))</f>
        <v>Income Tax Payable</v>
      </c>
      <c r="B63" s="261"/>
      <c r="C63" s="261"/>
      <c r="D63" s="261"/>
      <c r="E63" s="261"/>
      <c r="F63" s="261"/>
      <c r="G63" s="261"/>
      <c r="H63" s="261"/>
      <c r="I63" s="261"/>
      <c r="J63" s="261"/>
      <c r="K63" s="261"/>
      <c r="L63" s="261"/>
      <c r="M63" s="261"/>
      <c r="N63" s="261"/>
      <c r="O63" s="109" t="s">
        <v>61</v>
      </c>
      <c r="P63" s="122">
        <f>IF(P60&gt;O62,P60-O62,O62-P60)</f>
        <v>10913</v>
      </c>
    </row>
    <row r="64" spans="1:16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7"/>
      <c r="P64" s="18"/>
    </row>
    <row r="65" spans="1:17">
      <c r="A65" s="58"/>
      <c r="B65" s="161" t="s">
        <v>116</v>
      </c>
      <c r="C65" s="161"/>
      <c r="D65" s="161"/>
      <c r="E65" s="161"/>
      <c r="F65" s="59"/>
      <c r="G65" s="59"/>
      <c r="H65" s="59"/>
      <c r="I65" s="59"/>
      <c r="J65" s="59"/>
      <c r="K65" s="59"/>
      <c r="L65" s="161" t="s">
        <v>24</v>
      </c>
      <c r="M65" s="161"/>
      <c r="N65" s="161"/>
      <c r="O65" s="161"/>
      <c r="P65" s="60"/>
    </row>
    <row r="66" spans="1:17">
      <c r="A66" s="161"/>
      <c r="B66" s="161"/>
      <c r="C66" s="161"/>
      <c r="D66" s="161"/>
      <c r="E66" s="59"/>
      <c r="F66" s="59"/>
      <c r="G66" s="59"/>
      <c r="H66" s="59"/>
      <c r="I66" s="59"/>
      <c r="J66" s="59"/>
      <c r="K66" s="59"/>
      <c r="L66" s="59"/>
      <c r="M66" s="161"/>
      <c r="N66" s="161"/>
      <c r="O66" s="161"/>
      <c r="P66" s="161"/>
    </row>
    <row r="67" spans="1:17" s="32" customFormat="1" ht="15.75" hidden="1" customHeight="1">
      <c r="A67" s="61"/>
      <c r="B67" s="284"/>
      <c r="C67" s="284"/>
      <c r="D67" s="284"/>
      <c r="E67" s="284"/>
      <c r="F67" s="284"/>
      <c r="G67" s="284"/>
      <c r="H67" s="284"/>
      <c r="I67" s="284"/>
      <c r="J67" s="284"/>
      <c r="K67" s="284"/>
      <c r="L67" s="284"/>
      <c r="M67" s="284"/>
      <c r="N67" s="284"/>
      <c r="O67" s="284"/>
      <c r="P67" s="284"/>
    </row>
    <row r="68" spans="1:17" s="32" customFormat="1" ht="15.75" hidden="1" customHeight="1">
      <c r="A68" s="62"/>
      <c r="B68" s="284"/>
      <c r="C68" s="284"/>
      <c r="D68" s="284"/>
      <c r="E68" s="284"/>
      <c r="F68" s="284"/>
      <c r="G68" s="284"/>
      <c r="H68" s="284"/>
      <c r="I68" s="284"/>
      <c r="J68" s="284"/>
      <c r="K68" s="284"/>
      <c r="L68" s="284"/>
      <c r="M68" s="284"/>
      <c r="N68" s="284"/>
      <c r="O68" s="284"/>
      <c r="P68" s="284"/>
    </row>
    <row r="69" spans="1:17" s="32" customFormat="1" ht="24" hidden="1" customHeight="1">
      <c r="A69" s="61"/>
      <c r="B69" s="284"/>
      <c r="C69" s="284"/>
      <c r="D69" s="284"/>
      <c r="E69" s="284"/>
      <c r="F69" s="284"/>
      <c r="G69" s="284"/>
      <c r="H69" s="284"/>
      <c r="I69" s="284"/>
      <c r="J69" s="284"/>
      <c r="K69" s="284"/>
      <c r="L69" s="284"/>
      <c r="M69" s="284"/>
      <c r="N69" s="284"/>
      <c r="O69" s="284"/>
      <c r="P69" s="284"/>
    </row>
    <row r="70" spans="1:17" s="32" customFormat="1" ht="15.75" hidden="1" customHeight="1">
      <c r="A70" s="61"/>
      <c r="B70" s="63"/>
      <c r="C70" s="63"/>
      <c r="D70" s="63"/>
      <c r="E70" s="63"/>
      <c r="F70" s="63"/>
      <c r="G70" s="63"/>
      <c r="H70" s="63"/>
      <c r="I70" s="63"/>
      <c r="J70" s="63"/>
      <c r="K70" s="271"/>
      <c r="L70" s="271"/>
      <c r="M70" s="271"/>
      <c r="N70" s="271"/>
      <c r="O70" s="271"/>
      <c r="P70" s="271"/>
    </row>
    <row r="71" spans="1:17" s="32" customFormat="1" ht="15.75" hidden="1" customHeight="1">
      <c r="A71" s="61"/>
      <c r="B71" s="63"/>
      <c r="C71" s="63"/>
      <c r="D71" s="63"/>
      <c r="E71" s="63"/>
      <c r="F71" s="63"/>
      <c r="G71" s="63"/>
      <c r="H71" s="63"/>
      <c r="I71" s="63"/>
      <c r="J71" s="63"/>
      <c r="K71" s="271"/>
      <c r="L71" s="271"/>
      <c r="M71" s="271"/>
      <c r="N71" s="271"/>
      <c r="O71" s="271"/>
      <c r="P71" s="271"/>
    </row>
    <row r="72" spans="1:17" s="32" customFormat="1" ht="15.75" hidden="1" customHeight="1">
      <c r="A72" s="61"/>
      <c r="B72" s="63"/>
      <c r="C72" s="63"/>
      <c r="D72" s="63"/>
      <c r="E72" s="63"/>
      <c r="F72" s="63"/>
      <c r="G72" s="63"/>
      <c r="H72" s="63"/>
      <c r="I72" s="63"/>
      <c r="J72" s="63"/>
      <c r="K72" s="271"/>
      <c r="L72" s="271"/>
      <c r="M72" s="271"/>
      <c r="N72" s="271"/>
      <c r="O72" s="271"/>
      <c r="P72" s="271"/>
    </row>
    <row r="73" spans="1:17" s="32" customFormat="1" ht="15.75" hidden="1" customHeight="1">
      <c r="A73" s="61"/>
      <c r="B73" s="63"/>
      <c r="C73" s="63"/>
      <c r="D73" s="63"/>
      <c r="E73" s="63"/>
      <c r="F73" s="63"/>
      <c r="G73" s="63"/>
      <c r="H73" s="63"/>
      <c r="I73" s="63"/>
      <c r="J73" s="63"/>
      <c r="K73" s="271"/>
      <c r="L73" s="271"/>
      <c r="M73" s="271"/>
      <c r="N73" s="271"/>
      <c r="O73" s="271"/>
      <c r="P73" s="271"/>
    </row>
    <row r="74" spans="1:17" s="32" customFormat="1" ht="15.75" hidden="1" customHeight="1">
      <c r="A74" s="61"/>
      <c r="B74" s="63"/>
      <c r="C74" s="63"/>
      <c r="D74" s="63"/>
      <c r="E74" s="63"/>
      <c r="F74" s="63"/>
      <c r="G74" s="63"/>
      <c r="H74" s="63"/>
      <c r="I74" s="63"/>
      <c r="J74" s="63"/>
      <c r="K74" s="271"/>
      <c r="L74" s="271"/>
      <c r="M74" s="271"/>
      <c r="N74" s="271"/>
      <c r="O74" s="271"/>
      <c r="P74" s="271"/>
    </row>
    <row r="75" spans="1:17" s="32" customFormat="1" hidden="1">
      <c r="A75" s="62"/>
      <c r="B75" s="64"/>
      <c r="C75" s="204"/>
      <c r="D75" s="204"/>
      <c r="E75" s="204"/>
      <c r="F75" s="204"/>
      <c r="G75" s="204"/>
      <c r="H75" s="204"/>
      <c r="I75" s="204"/>
      <c r="J75" s="64"/>
      <c r="K75" s="271"/>
      <c r="L75" s="271"/>
      <c r="M75" s="271"/>
      <c r="N75" s="271"/>
      <c r="O75" s="271"/>
      <c r="P75" s="271"/>
    </row>
    <row r="76" spans="1:17" s="32" customFormat="1" hidden="1">
      <c r="A76" s="62"/>
      <c r="B76" s="64"/>
      <c r="C76" s="64"/>
      <c r="D76" s="64"/>
      <c r="E76" s="64"/>
      <c r="F76" s="64"/>
      <c r="G76" s="64"/>
      <c r="H76" s="64"/>
      <c r="I76" s="64"/>
      <c r="J76" s="64"/>
      <c r="K76" s="271"/>
      <c r="L76" s="271"/>
      <c r="M76" s="271"/>
      <c r="N76" s="271"/>
      <c r="O76" s="271"/>
      <c r="P76" s="271"/>
    </row>
    <row r="77" spans="1:17" hidden="1">
      <c r="A77" s="65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8"/>
      <c r="Q77" s="31"/>
    </row>
    <row r="78" spans="1:17" hidden="1">
      <c r="A78" s="65"/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8"/>
      <c r="Q78" s="31"/>
    </row>
    <row r="79" spans="1:17" hidden="1">
      <c r="A79" s="65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/>
      <c r="P79" s="68"/>
      <c r="Q79" s="31"/>
    </row>
    <row r="80" spans="1:17" hidden="1">
      <c r="A80" s="69"/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1"/>
      <c r="P80" s="72"/>
    </row>
    <row r="81" spans="1:16" hidden="1">
      <c r="A81" s="69"/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1"/>
      <c r="P81" s="72"/>
    </row>
    <row r="82" spans="1:16" hidden="1">
      <c r="A82" s="69"/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1"/>
      <c r="P82" s="72"/>
    </row>
    <row r="83" spans="1:16" hidden="1"/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5">
    <mergeCell ref="K70:P76"/>
    <mergeCell ref="B54:N54"/>
    <mergeCell ref="B57:N57"/>
    <mergeCell ref="B58:N58"/>
    <mergeCell ref="A48:A58"/>
    <mergeCell ref="B48:P48"/>
    <mergeCell ref="B49:F49"/>
    <mergeCell ref="G49:J49"/>
    <mergeCell ref="K49:N49"/>
    <mergeCell ref="B52:D52"/>
    <mergeCell ref="B53:D53"/>
    <mergeCell ref="B50:D50"/>
    <mergeCell ref="B51:D51"/>
    <mergeCell ref="E52:F52"/>
    <mergeCell ref="G52:I52"/>
    <mergeCell ref="K52:M52"/>
    <mergeCell ref="G51:I51"/>
    <mergeCell ref="K51:M51"/>
    <mergeCell ref="B55:N55"/>
    <mergeCell ref="B56:N56"/>
    <mergeCell ref="B67:P69"/>
    <mergeCell ref="O61:P61"/>
    <mergeCell ref="E62:H62"/>
    <mergeCell ref="I62:J62"/>
    <mergeCell ref="E53:F53"/>
    <mergeCell ref="G53:I53"/>
    <mergeCell ref="K53:M53"/>
    <mergeCell ref="L62:M62"/>
    <mergeCell ref="O62:P62"/>
    <mergeCell ref="A63:N63"/>
    <mergeCell ref="B59:N59"/>
    <mergeCell ref="B60:N60"/>
    <mergeCell ref="E61:H61"/>
    <mergeCell ref="I61:J61"/>
    <mergeCell ref="L61:M61"/>
    <mergeCell ref="B61:D62"/>
    <mergeCell ref="A61:A62"/>
    <mergeCell ref="K50:M50"/>
    <mergeCell ref="C29:F29"/>
    <mergeCell ref="B31:N31"/>
    <mergeCell ref="J21:L21"/>
    <mergeCell ref="A35:A44"/>
    <mergeCell ref="B35:P35"/>
    <mergeCell ref="B36:N36"/>
    <mergeCell ref="B37:N37"/>
    <mergeCell ref="B38:N38"/>
    <mergeCell ref="B39:N39"/>
    <mergeCell ref="B40:N40"/>
    <mergeCell ref="B41:N41"/>
    <mergeCell ref="B44:N44"/>
    <mergeCell ref="B42:N42"/>
    <mergeCell ref="B43:N43"/>
    <mergeCell ref="O21:P30"/>
    <mergeCell ref="C23:F23"/>
    <mergeCell ref="J23:L23"/>
    <mergeCell ref="C24:F24"/>
    <mergeCell ref="J24:L24"/>
    <mergeCell ref="A1:P1"/>
    <mergeCell ref="A2:P2"/>
    <mergeCell ref="B3:C3"/>
    <mergeCell ref="O3:P3"/>
    <mergeCell ref="B4:N4"/>
    <mergeCell ref="B5:N5"/>
    <mergeCell ref="B6:N6"/>
    <mergeCell ref="B11:N11"/>
    <mergeCell ref="B7:K7"/>
    <mergeCell ref="L7:N7"/>
    <mergeCell ref="B10:K10"/>
    <mergeCell ref="L10:N10"/>
    <mergeCell ref="D3:I3"/>
    <mergeCell ref="K3:M3"/>
    <mergeCell ref="A7:A10"/>
    <mergeCell ref="L8:N8"/>
    <mergeCell ref="B8:K8"/>
    <mergeCell ref="B9:K9"/>
    <mergeCell ref="L9:N9"/>
    <mergeCell ref="O7:P9"/>
    <mergeCell ref="C75:I75"/>
    <mergeCell ref="L12:N12"/>
    <mergeCell ref="O12:P14"/>
    <mergeCell ref="G13:I13"/>
    <mergeCell ref="J13:K13"/>
    <mergeCell ref="B15:N15"/>
    <mergeCell ref="B16:N16"/>
    <mergeCell ref="B17:N17"/>
    <mergeCell ref="B18:N18"/>
    <mergeCell ref="C27:F27"/>
    <mergeCell ref="L13:N13"/>
    <mergeCell ref="G14:I14"/>
    <mergeCell ref="J14:K14"/>
    <mergeCell ref="L14:N14"/>
    <mergeCell ref="C28:F28"/>
    <mergeCell ref="J28:L28"/>
    <mergeCell ref="B45:N45"/>
    <mergeCell ref="E51:F51"/>
    <mergeCell ref="B19:P19"/>
    <mergeCell ref="B20:P20"/>
    <mergeCell ref="C21:F21"/>
    <mergeCell ref="C22:F22"/>
    <mergeCell ref="B30:L30"/>
    <mergeCell ref="J29:L29"/>
    <mergeCell ref="M66:P66"/>
    <mergeCell ref="B33:N33"/>
    <mergeCell ref="B32:N32"/>
    <mergeCell ref="B34:N34"/>
    <mergeCell ref="B65:E65"/>
    <mergeCell ref="L65:O65"/>
    <mergeCell ref="J27:L27"/>
    <mergeCell ref="A12:A14"/>
    <mergeCell ref="B12:I12"/>
    <mergeCell ref="J12:K12"/>
    <mergeCell ref="D14:F14"/>
    <mergeCell ref="D13:F13"/>
    <mergeCell ref="B13:C14"/>
    <mergeCell ref="A19:A31"/>
    <mergeCell ref="A66:D66"/>
    <mergeCell ref="C25:F25"/>
    <mergeCell ref="C26:F26"/>
    <mergeCell ref="J26:L26"/>
    <mergeCell ref="B46:N46"/>
    <mergeCell ref="J22:L22"/>
    <mergeCell ref="J25:L25"/>
    <mergeCell ref="B47:N47"/>
    <mergeCell ref="E50:F50"/>
    <mergeCell ref="G50:I50"/>
  </mergeCells>
  <printOptions horizontalCentered="1"/>
  <pageMargins left="0.39370078740157499" right="0.23622047244094499" top="0.23622047244094499" bottom="0.27559055118110198" header="0.196850393700787" footer="0.23622047244094499"/>
  <pageSetup paperSize="9" scale="75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R87"/>
  <sheetViews>
    <sheetView showGridLines="0" workbookViewId="0">
      <selection activeCell="B39" sqref="B39:N39"/>
    </sheetView>
  </sheetViews>
  <sheetFormatPr defaultColWidth="0" defaultRowHeight="15.75" customHeight="1" zeroHeight="1"/>
  <cols>
    <col min="1" max="1" width="4.5703125" style="9" customWidth="1" collapsed="1"/>
    <col min="2" max="2" width="4.5703125" style="8" customWidth="1" collapsed="1"/>
    <col min="3" max="4" width="9.140625" style="8" customWidth="1" collapsed="1"/>
    <col min="5" max="5" width="3.85546875" style="8" customWidth="1" collapsed="1"/>
    <col min="6" max="6" width="5.42578125" style="8" customWidth="1" collapsed="1"/>
    <col min="7" max="7" width="4.5703125" style="8" customWidth="1" collapsed="1"/>
    <col min="8" max="8" width="11.85546875" style="8" customWidth="1" collapsed="1"/>
    <col min="9" max="9" width="5.140625" style="8" customWidth="1" collapsed="1"/>
    <col min="10" max="10" width="11.7109375" style="8" customWidth="1" collapsed="1"/>
    <col min="11" max="11" width="11.42578125" style="8" customWidth="1" collapsed="1"/>
    <col min="12" max="12" width="9.42578125" style="8" customWidth="1" collapsed="1"/>
    <col min="13" max="13" width="4.5703125" style="8" customWidth="1" collapsed="1"/>
    <col min="14" max="14" width="12.7109375" style="8" customWidth="1" collapsed="1"/>
    <col min="15" max="15" width="3.85546875" style="10" customWidth="1" collapsed="1"/>
    <col min="16" max="16" width="19.28515625" style="11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2" customFormat="1" ht="18.75">
      <c r="A1" s="220" t="str">
        <f>Salary!C2</f>
        <v>OFFICE OF THE PRINCIPAL GOVT. HIGHER SECONDARY SCHOOL, GANGIWARA,  CHHINDWARA M.P.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</row>
    <row r="2" spans="1:16" s="12" customFormat="1" ht="21.75" thickBot="1">
      <c r="A2" s="221" t="s">
        <v>203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</row>
    <row r="3" spans="1:16" s="12" customFormat="1" ht="15" customHeight="1">
      <c r="A3" s="98">
        <v>1</v>
      </c>
      <c r="B3" s="222" t="s">
        <v>73</v>
      </c>
      <c r="C3" s="223"/>
      <c r="D3" s="232" t="str">
        <f>Salary!$E$4</f>
        <v>PARMANAND MEGHWAL</v>
      </c>
      <c r="E3" s="232"/>
      <c r="F3" s="232"/>
      <c r="G3" s="232"/>
      <c r="H3" s="232"/>
      <c r="I3" s="232"/>
      <c r="J3" s="99" t="s">
        <v>48</v>
      </c>
      <c r="K3" s="233" t="str">
        <f>Salary!N4</f>
        <v>SENIOR TEACHER</v>
      </c>
      <c r="L3" s="233"/>
      <c r="M3" s="233"/>
      <c r="N3" s="100" t="s">
        <v>17</v>
      </c>
      <c r="O3" s="224" t="str">
        <f>Salary!AA4</f>
        <v>AAAAAAA</v>
      </c>
      <c r="P3" s="225"/>
    </row>
    <row r="4" spans="1:16" s="12" customFormat="1" ht="15" customHeight="1">
      <c r="A4" s="101">
        <v>2</v>
      </c>
      <c r="B4" s="226" t="s">
        <v>74</v>
      </c>
      <c r="C4" s="226"/>
      <c r="D4" s="175"/>
      <c r="E4" s="175"/>
      <c r="F4" s="175"/>
      <c r="G4" s="175"/>
      <c r="H4" s="175"/>
      <c r="I4" s="175"/>
      <c r="J4" s="226"/>
      <c r="K4" s="175"/>
      <c r="L4" s="175"/>
      <c r="M4" s="175"/>
      <c r="N4" s="226"/>
      <c r="O4" s="102" t="s">
        <v>61</v>
      </c>
      <c r="P4" s="103">
        <f>IF(Salary!O1="No",Salary!N28,(Salary!N28+Salary!P28))</f>
        <v>823392</v>
      </c>
    </row>
    <row r="5" spans="1:16" s="12" customFormat="1" ht="15" customHeight="1">
      <c r="A5" s="101">
        <v>3</v>
      </c>
      <c r="B5" s="227" t="s">
        <v>75</v>
      </c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102" t="s">
        <v>61</v>
      </c>
      <c r="P5" s="104">
        <v>0</v>
      </c>
    </row>
    <row r="6" spans="1:16" s="12" customFormat="1" ht="15" customHeight="1">
      <c r="A6" s="101">
        <v>4</v>
      </c>
      <c r="B6" s="211" t="s">
        <v>184</v>
      </c>
      <c r="C6" s="212"/>
      <c r="D6" s="212"/>
      <c r="E6" s="212"/>
      <c r="F6" s="212"/>
      <c r="G6" s="212"/>
      <c r="H6" s="212"/>
      <c r="I6" s="212"/>
      <c r="J6" s="212"/>
      <c r="K6" s="212"/>
      <c r="L6" s="212"/>
      <c r="M6" s="212"/>
      <c r="N6" s="213"/>
      <c r="O6" s="102" t="s">
        <v>61</v>
      </c>
      <c r="P6" s="104">
        <f>P4-P5</f>
        <v>823392</v>
      </c>
    </row>
    <row r="7" spans="1:16" s="12" customFormat="1" ht="15" customHeight="1">
      <c r="A7" s="187">
        <v>5</v>
      </c>
      <c r="B7" s="229" t="s">
        <v>82</v>
      </c>
      <c r="C7" s="230"/>
      <c r="D7" s="230"/>
      <c r="E7" s="230"/>
      <c r="F7" s="230"/>
      <c r="G7" s="230"/>
      <c r="H7" s="230"/>
      <c r="I7" s="230"/>
      <c r="J7" s="230"/>
      <c r="K7" s="230"/>
      <c r="L7" s="205">
        <f>'Other Deduction'!B4</f>
        <v>0</v>
      </c>
      <c r="M7" s="205"/>
      <c r="N7" s="205"/>
      <c r="O7" s="238"/>
      <c r="P7" s="239"/>
    </row>
    <row r="8" spans="1:16" s="12" customFormat="1" ht="15" customHeight="1">
      <c r="A8" s="188"/>
      <c r="B8" s="235" t="s">
        <v>83</v>
      </c>
      <c r="C8" s="236"/>
      <c r="D8" s="236"/>
      <c r="E8" s="236"/>
      <c r="F8" s="236"/>
      <c r="G8" s="236"/>
      <c r="H8" s="236"/>
      <c r="I8" s="236"/>
      <c r="J8" s="236"/>
      <c r="K8" s="236"/>
      <c r="L8" s="205">
        <f>'Other Deduction'!B5</f>
        <v>0</v>
      </c>
      <c r="M8" s="205"/>
      <c r="N8" s="205"/>
      <c r="O8" s="240"/>
      <c r="P8" s="241"/>
    </row>
    <row r="9" spans="1:16" s="12" customFormat="1" ht="15" customHeight="1">
      <c r="A9" s="188"/>
      <c r="B9" s="235" t="s">
        <v>176</v>
      </c>
      <c r="C9" s="236"/>
      <c r="D9" s="236"/>
      <c r="E9" s="236"/>
      <c r="F9" s="236"/>
      <c r="G9" s="236"/>
      <c r="H9" s="236"/>
      <c r="I9" s="236"/>
      <c r="J9" s="236"/>
      <c r="K9" s="237"/>
      <c r="L9" s="177">
        <v>0</v>
      </c>
      <c r="M9" s="178"/>
      <c r="N9" s="179"/>
      <c r="O9" s="242"/>
      <c r="P9" s="243"/>
    </row>
    <row r="10" spans="1:16" s="12" customFormat="1" ht="15" customHeight="1">
      <c r="A10" s="234"/>
      <c r="B10" s="231" t="s">
        <v>175</v>
      </c>
      <c r="C10" s="230"/>
      <c r="D10" s="230"/>
      <c r="E10" s="230"/>
      <c r="F10" s="230"/>
      <c r="G10" s="230"/>
      <c r="H10" s="230"/>
      <c r="I10" s="230"/>
      <c r="J10" s="230"/>
      <c r="K10" s="230"/>
      <c r="L10" s="205">
        <f>IF(P6&lt;50000,P6,50000)</f>
        <v>50000</v>
      </c>
      <c r="M10" s="205"/>
      <c r="N10" s="205"/>
      <c r="O10" s="102" t="s">
        <v>61</v>
      </c>
      <c r="P10" s="104">
        <f>L10</f>
        <v>50000</v>
      </c>
    </row>
    <row r="11" spans="1:16" s="12" customFormat="1" ht="15" customHeight="1">
      <c r="A11" s="101">
        <v>6</v>
      </c>
      <c r="B11" s="211" t="s">
        <v>76</v>
      </c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3"/>
      <c r="O11" s="102" t="s">
        <v>61</v>
      </c>
      <c r="P11" s="104">
        <f>P6-P10-L9</f>
        <v>773392</v>
      </c>
    </row>
    <row r="12" spans="1:16" s="12" customFormat="1" ht="15" customHeight="1">
      <c r="A12" s="174">
        <v>7</v>
      </c>
      <c r="B12" s="175" t="s">
        <v>77</v>
      </c>
      <c r="C12" s="175"/>
      <c r="D12" s="175"/>
      <c r="E12" s="175"/>
      <c r="F12" s="175"/>
      <c r="G12" s="175"/>
      <c r="H12" s="175"/>
      <c r="I12" s="175"/>
      <c r="J12" s="176" t="s">
        <v>78</v>
      </c>
      <c r="K12" s="176"/>
      <c r="L12" s="205">
        <f>'Other Deduction'!B6</f>
        <v>0</v>
      </c>
      <c r="M12" s="205"/>
      <c r="N12" s="205"/>
      <c r="O12" s="206"/>
      <c r="P12" s="207"/>
    </row>
    <row r="13" spans="1:16" s="12" customFormat="1" ht="27.75" customHeight="1">
      <c r="A13" s="174"/>
      <c r="B13" s="183" t="s">
        <v>80</v>
      </c>
      <c r="C13" s="184"/>
      <c r="D13" s="180" t="s">
        <v>79</v>
      </c>
      <c r="E13" s="181"/>
      <c r="F13" s="182"/>
      <c r="G13" s="208" t="s">
        <v>81</v>
      </c>
      <c r="H13" s="209"/>
      <c r="I13" s="210"/>
      <c r="J13" s="176" t="s">
        <v>84</v>
      </c>
      <c r="K13" s="176"/>
      <c r="L13" s="176" t="s">
        <v>47</v>
      </c>
      <c r="M13" s="176"/>
      <c r="N13" s="176"/>
      <c r="O13" s="206"/>
      <c r="P13" s="207"/>
    </row>
    <row r="14" spans="1:16" s="12" customFormat="1" ht="15" customHeight="1">
      <c r="A14" s="174"/>
      <c r="B14" s="185"/>
      <c r="C14" s="186"/>
      <c r="D14" s="177">
        <f>ROUND(L12*0.3,0)</f>
        <v>0</v>
      </c>
      <c r="E14" s="178"/>
      <c r="F14" s="179"/>
      <c r="G14" s="177">
        <f>IF((Salary!V28+'Other Deduction'!B9)&gt;200000,200000,(Salary!V28+'Other Deduction'!B9))</f>
        <v>0</v>
      </c>
      <c r="H14" s="178"/>
      <c r="I14" s="179"/>
      <c r="J14" s="205">
        <f>'Other Deduction'!B7</f>
        <v>0</v>
      </c>
      <c r="K14" s="205"/>
      <c r="L14" s="205">
        <f>D14+G14+J14</f>
        <v>0</v>
      </c>
      <c r="M14" s="205"/>
      <c r="N14" s="205"/>
      <c r="O14" s="206"/>
      <c r="P14" s="207"/>
    </row>
    <row r="15" spans="1:16" s="12" customFormat="1" ht="15" customHeight="1">
      <c r="A15" s="101"/>
      <c r="B15" s="211" t="s">
        <v>85</v>
      </c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3"/>
      <c r="O15" s="102" t="s">
        <v>61</v>
      </c>
      <c r="P15" s="104">
        <f>L12-L14</f>
        <v>0</v>
      </c>
    </row>
    <row r="16" spans="1:16" s="12" customFormat="1" ht="15" customHeight="1">
      <c r="A16" s="101">
        <v>8</v>
      </c>
      <c r="B16" s="211" t="s">
        <v>86</v>
      </c>
      <c r="C16" s="212"/>
      <c r="D16" s="212"/>
      <c r="E16" s="212"/>
      <c r="F16" s="212"/>
      <c r="G16" s="212"/>
      <c r="H16" s="212"/>
      <c r="I16" s="212"/>
      <c r="J16" s="212"/>
      <c r="K16" s="212"/>
      <c r="L16" s="212"/>
      <c r="M16" s="212"/>
      <c r="N16" s="213"/>
      <c r="O16" s="102" t="s">
        <v>61</v>
      </c>
      <c r="P16" s="104">
        <f>P11+P15</f>
        <v>773392</v>
      </c>
    </row>
    <row r="17" spans="1:16" s="12" customFormat="1" ht="15" customHeight="1">
      <c r="A17" s="101">
        <v>9</v>
      </c>
      <c r="B17" s="175" t="s">
        <v>87</v>
      </c>
      <c r="C17" s="175"/>
      <c r="D17" s="175"/>
      <c r="E17" s="175"/>
      <c r="F17" s="175"/>
      <c r="G17" s="175"/>
      <c r="H17" s="175"/>
      <c r="I17" s="175"/>
      <c r="J17" s="175"/>
      <c r="K17" s="175"/>
      <c r="L17" s="175"/>
      <c r="M17" s="175"/>
      <c r="N17" s="175"/>
      <c r="O17" s="102" t="s">
        <v>61</v>
      </c>
      <c r="P17" s="104">
        <f>'Other Deduction'!E3+'Other Deduction'!E4</f>
        <v>0</v>
      </c>
    </row>
    <row r="18" spans="1:16" s="12" customFormat="1" ht="15" customHeight="1">
      <c r="A18" s="101">
        <v>10</v>
      </c>
      <c r="B18" s="175" t="s">
        <v>88</v>
      </c>
      <c r="C18" s="175"/>
      <c r="D18" s="175"/>
      <c r="E18" s="175"/>
      <c r="F18" s="175"/>
      <c r="G18" s="175"/>
      <c r="H18" s="175"/>
      <c r="I18" s="175"/>
      <c r="J18" s="175"/>
      <c r="K18" s="175"/>
      <c r="L18" s="175"/>
      <c r="M18" s="175"/>
      <c r="N18" s="175"/>
      <c r="O18" s="102" t="s">
        <v>61</v>
      </c>
      <c r="P18" s="103">
        <f>P16+P17</f>
        <v>773392</v>
      </c>
    </row>
    <row r="19" spans="1:16" s="12" customFormat="1" ht="15" customHeight="1">
      <c r="A19" s="187">
        <v>11</v>
      </c>
      <c r="B19" s="199" t="s">
        <v>89</v>
      </c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215"/>
    </row>
    <row r="20" spans="1:16" s="12" customFormat="1" ht="18" customHeight="1">
      <c r="A20" s="188"/>
      <c r="B20" s="199" t="s">
        <v>135</v>
      </c>
      <c r="C20" s="199"/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N20" s="199"/>
      <c r="O20" s="199"/>
      <c r="P20" s="215"/>
    </row>
    <row r="21" spans="1:16" s="12" customFormat="1" ht="14.25" customHeight="1">
      <c r="A21" s="188"/>
      <c r="B21" s="105">
        <v>1</v>
      </c>
      <c r="C21" s="189" t="s">
        <v>133</v>
      </c>
      <c r="D21" s="190"/>
      <c r="E21" s="190"/>
      <c r="F21" s="190"/>
      <c r="G21" s="102" t="s">
        <v>61</v>
      </c>
      <c r="H21" s="106">
        <f>IF(Salary!O1&lt;&gt;"No",Salary!O28,0)</f>
        <v>71744</v>
      </c>
      <c r="I21" s="105">
        <v>10</v>
      </c>
      <c r="J21" s="171" t="s">
        <v>60</v>
      </c>
      <c r="K21" s="172"/>
      <c r="L21" s="173"/>
      <c r="M21" s="102" t="s">
        <v>61</v>
      </c>
      <c r="N21" s="106">
        <f>'Other Deduction'!E6</f>
        <v>0</v>
      </c>
      <c r="O21" s="238"/>
      <c r="P21" s="254"/>
    </row>
    <row r="22" spans="1:16" s="12" customFormat="1" ht="26.25" customHeight="1">
      <c r="A22" s="188"/>
      <c r="B22" s="105">
        <v>2</v>
      </c>
      <c r="C22" s="189" t="s">
        <v>56</v>
      </c>
      <c r="D22" s="190"/>
      <c r="E22" s="190"/>
      <c r="F22" s="190"/>
      <c r="G22" s="102" t="s">
        <v>61</v>
      </c>
      <c r="H22" s="106">
        <f>Salary!S28+'Other Deduction'!B10</f>
        <v>0</v>
      </c>
      <c r="I22" s="105">
        <v>11</v>
      </c>
      <c r="J22" s="196" t="s">
        <v>62</v>
      </c>
      <c r="K22" s="197"/>
      <c r="L22" s="198"/>
      <c r="M22" s="102" t="s">
        <v>61</v>
      </c>
      <c r="N22" s="107">
        <f>'Other Deduction'!B15</f>
        <v>0</v>
      </c>
      <c r="O22" s="240"/>
      <c r="P22" s="255"/>
    </row>
    <row r="23" spans="1:16" s="12" customFormat="1" ht="14.25" customHeight="1">
      <c r="A23" s="188"/>
      <c r="B23" s="105">
        <v>3</v>
      </c>
      <c r="C23" s="189" t="s">
        <v>57</v>
      </c>
      <c r="D23" s="190"/>
      <c r="E23" s="190"/>
      <c r="F23" s="190"/>
      <c r="G23" s="102" t="s">
        <v>61</v>
      </c>
      <c r="H23" s="106">
        <f>'Other Deduction'!B14</f>
        <v>0</v>
      </c>
      <c r="I23" s="105">
        <v>12</v>
      </c>
      <c r="J23" s="196" t="s">
        <v>63</v>
      </c>
      <c r="K23" s="197"/>
      <c r="L23" s="198"/>
      <c r="M23" s="102" t="s">
        <v>61</v>
      </c>
      <c r="N23" s="107">
        <f>'Other Deduction'!B12</f>
        <v>0</v>
      </c>
      <c r="O23" s="240"/>
      <c r="P23" s="255"/>
    </row>
    <row r="24" spans="1:16" s="12" customFormat="1" ht="15" customHeight="1">
      <c r="A24" s="188"/>
      <c r="B24" s="105">
        <v>4</v>
      </c>
      <c r="C24" s="189" t="s">
        <v>69</v>
      </c>
      <c r="D24" s="190"/>
      <c r="E24" s="190"/>
      <c r="F24" s="190"/>
      <c r="G24" s="102" t="s">
        <v>61</v>
      </c>
      <c r="H24" s="106">
        <f>'Other Deduction'!B16</f>
        <v>0</v>
      </c>
      <c r="I24" s="105">
        <v>13</v>
      </c>
      <c r="J24" s="196" t="s">
        <v>64</v>
      </c>
      <c r="K24" s="197"/>
      <c r="L24" s="198"/>
      <c r="M24" s="102" t="s">
        <v>61</v>
      </c>
      <c r="N24" s="106">
        <f>'Other Deduction'!E15</f>
        <v>0</v>
      </c>
      <c r="O24" s="240"/>
      <c r="P24" s="255"/>
    </row>
    <row r="25" spans="1:16" s="12" customFormat="1" ht="15.75" customHeight="1">
      <c r="A25" s="188"/>
      <c r="B25" s="105">
        <v>5</v>
      </c>
      <c r="C25" s="189" t="s">
        <v>70</v>
      </c>
      <c r="D25" s="190"/>
      <c r="E25" s="190"/>
      <c r="F25" s="190"/>
      <c r="G25" s="102" t="s">
        <v>61</v>
      </c>
      <c r="H25" s="106">
        <f>'Other Deduction'!B17</f>
        <v>0</v>
      </c>
      <c r="I25" s="105">
        <v>14</v>
      </c>
      <c r="J25" s="171" t="s">
        <v>65</v>
      </c>
      <c r="K25" s="194"/>
      <c r="L25" s="195"/>
      <c r="M25" s="102" t="s">
        <v>61</v>
      </c>
      <c r="N25" s="106">
        <f>'Other Deduction'!E16</f>
        <v>0</v>
      </c>
      <c r="O25" s="240"/>
      <c r="P25" s="255"/>
    </row>
    <row r="26" spans="1:16" s="12" customFormat="1" ht="15.75" customHeight="1">
      <c r="A26" s="188"/>
      <c r="B26" s="105">
        <v>6</v>
      </c>
      <c r="C26" s="191" t="s">
        <v>124</v>
      </c>
      <c r="D26" s="192"/>
      <c r="E26" s="192"/>
      <c r="F26" s="193"/>
      <c r="G26" s="102" t="s">
        <v>61</v>
      </c>
      <c r="H26" s="106">
        <f>IF(Salary!O1&lt;&gt;"Yes",Salary!O28,0)</f>
        <v>0</v>
      </c>
      <c r="I26" s="105">
        <v>15</v>
      </c>
      <c r="J26" s="171" t="s">
        <v>66</v>
      </c>
      <c r="K26" s="194"/>
      <c r="L26" s="195"/>
      <c r="M26" s="102" t="s">
        <v>61</v>
      </c>
      <c r="N26" s="106">
        <f>'Other Deduction'!B11</f>
        <v>0</v>
      </c>
      <c r="O26" s="240"/>
      <c r="P26" s="255"/>
    </row>
    <row r="27" spans="1:16" s="12" customFormat="1" ht="15" customHeight="1">
      <c r="A27" s="188"/>
      <c r="B27" s="105">
        <v>7</v>
      </c>
      <c r="C27" s="191" t="s">
        <v>58</v>
      </c>
      <c r="D27" s="192"/>
      <c r="E27" s="192"/>
      <c r="F27" s="193"/>
      <c r="G27" s="102" t="s">
        <v>61</v>
      </c>
      <c r="H27" s="107">
        <f>Salary!Q28</f>
        <v>1044</v>
      </c>
      <c r="I27" s="105">
        <v>16</v>
      </c>
      <c r="J27" s="171" t="s">
        <v>67</v>
      </c>
      <c r="K27" s="172"/>
      <c r="L27" s="173"/>
      <c r="M27" s="102" t="s">
        <v>61</v>
      </c>
      <c r="N27" s="106">
        <f>'Other Deduction'!E5</f>
        <v>0</v>
      </c>
      <c r="O27" s="240"/>
      <c r="P27" s="255"/>
    </row>
    <row r="28" spans="1:16" s="12" customFormat="1" ht="15.75" customHeight="1">
      <c r="A28" s="188"/>
      <c r="B28" s="105">
        <v>8</v>
      </c>
      <c r="C28" s="189" t="s">
        <v>59</v>
      </c>
      <c r="D28" s="189"/>
      <c r="E28" s="189"/>
      <c r="F28" s="189"/>
      <c r="G28" s="102" t="s">
        <v>61</v>
      </c>
      <c r="H28" s="107">
        <f>'Other Deduction'!B13</f>
        <v>0</v>
      </c>
      <c r="I28" s="105">
        <v>17</v>
      </c>
      <c r="J28" s="196" t="s">
        <v>68</v>
      </c>
      <c r="K28" s="197"/>
      <c r="L28" s="198"/>
      <c r="M28" s="102" t="s">
        <v>61</v>
      </c>
      <c r="N28" s="106">
        <f>'Other Deduction'!B18</f>
        <v>0</v>
      </c>
      <c r="O28" s="240"/>
      <c r="P28" s="255"/>
    </row>
    <row r="29" spans="1:16" s="12" customFormat="1" ht="27" customHeight="1">
      <c r="A29" s="188"/>
      <c r="B29" s="108">
        <v>9</v>
      </c>
      <c r="C29" s="244" t="s">
        <v>165</v>
      </c>
      <c r="D29" s="244"/>
      <c r="E29" s="244"/>
      <c r="F29" s="244"/>
      <c r="G29" s="109" t="s">
        <v>61</v>
      </c>
      <c r="H29" s="110">
        <f>'Other Deduction'!B8</f>
        <v>0</v>
      </c>
      <c r="I29" s="108">
        <v>18</v>
      </c>
      <c r="J29" s="219"/>
      <c r="K29" s="219"/>
      <c r="L29" s="219"/>
      <c r="M29" s="109" t="s">
        <v>61</v>
      </c>
      <c r="N29" s="106"/>
      <c r="O29" s="240"/>
      <c r="P29" s="255"/>
    </row>
    <row r="30" spans="1:16" s="12" customFormat="1" ht="15" customHeight="1">
      <c r="A30" s="188"/>
      <c r="B30" s="216" t="s">
        <v>72</v>
      </c>
      <c r="C30" s="217"/>
      <c r="D30" s="217"/>
      <c r="E30" s="217"/>
      <c r="F30" s="217"/>
      <c r="G30" s="217"/>
      <c r="H30" s="217"/>
      <c r="I30" s="217"/>
      <c r="J30" s="217"/>
      <c r="K30" s="217"/>
      <c r="L30" s="218"/>
      <c r="M30" s="109" t="s">
        <v>61</v>
      </c>
      <c r="N30" s="111">
        <f>SUM(H21:H29)+SUM(N21:N29)</f>
        <v>72788</v>
      </c>
      <c r="O30" s="242"/>
      <c r="P30" s="256"/>
    </row>
    <row r="31" spans="1:16" s="12" customFormat="1" ht="16.5" customHeight="1">
      <c r="A31" s="188"/>
      <c r="B31" s="245" t="s">
        <v>71</v>
      </c>
      <c r="C31" s="245"/>
      <c r="D31" s="245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109" t="s">
        <v>61</v>
      </c>
      <c r="P31" s="103">
        <v>0</v>
      </c>
    </row>
    <row r="32" spans="1:16" s="12" customFormat="1" ht="17.25" customHeight="1">
      <c r="A32" s="112"/>
      <c r="B32" s="165" t="s">
        <v>204</v>
      </c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6"/>
      <c r="N32" s="167"/>
      <c r="O32" s="109" t="s">
        <v>61</v>
      </c>
      <c r="P32" s="103">
        <f>IF(Salary!O1="Yes",Salary!P28,0)</f>
        <v>100448</v>
      </c>
    </row>
    <row r="33" spans="1:16" s="12" customFormat="1" ht="15" customHeight="1">
      <c r="A33" s="112"/>
      <c r="B33" s="162" t="s">
        <v>136</v>
      </c>
      <c r="C33" s="163"/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164"/>
      <c r="O33" s="109" t="s">
        <v>61</v>
      </c>
      <c r="P33" s="103">
        <v>0</v>
      </c>
    </row>
    <row r="34" spans="1:16" s="12" customFormat="1" ht="15" customHeight="1">
      <c r="A34" s="112"/>
      <c r="B34" s="168" t="s">
        <v>137</v>
      </c>
      <c r="C34" s="169"/>
      <c r="D34" s="169"/>
      <c r="E34" s="169"/>
      <c r="F34" s="169"/>
      <c r="G34" s="169"/>
      <c r="H34" s="169"/>
      <c r="I34" s="169"/>
      <c r="J34" s="169"/>
      <c r="K34" s="169"/>
      <c r="L34" s="169"/>
      <c r="M34" s="169"/>
      <c r="N34" s="170"/>
      <c r="O34" s="109"/>
      <c r="P34" s="103">
        <f>P31+P32+P33</f>
        <v>100448</v>
      </c>
    </row>
    <row r="35" spans="1:16" s="12" customFormat="1" ht="15" customHeight="1">
      <c r="A35" s="187">
        <v>12</v>
      </c>
      <c r="B35" s="246" t="s">
        <v>90</v>
      </c>
      <c r="C35" s="246"/>
      <c r="D35" s="246"/>
      <c r="E35" s="246"/>
      <c r="F35" s="246"/>
      <c r="G35" s="246"/>
      <c r="H35" s="246"/>
      <c r="I35" s="246"/>
      <c r="J35" s="246"/>
      <c r="K35" s="246"/>
      <c r="L35" s="246"/>
      <c r="M35" s="246"/>
      <c r="N35" s="246"/>
      <c r="O35" s="246"/>
      <c r="P35" s="247"/>
    </row>
    <row r="36" spans="1:16" s="12" customFormat="1" ht="27.75" customHeight="1">
      <c r="A36" s="188"/>
      <c r="B36" s="191" t="s">
        <v>91</v>
      </c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9"/>
      <c r="O36" s="109" t="s">
        <v>61</v>
      </c>
      <c r="P36" s="104">
        <f>'Other Deduction'!E8</f>
        <v>0</v>
      </c>
    </row>
    <row r="37" spans="1:16" s="12" customFormat="1" ht="17.25" customHeight="1">
      <c r="A37" s="188"/>
      <c r="B37" s="250" t="s">
        <v>158</v>
      </c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109" t="s">
        <v>61</v>
      </c>
      <c r="P37" s="104">
        <f>'Other Deduction'!E9</f>
        <v>0</v>
      </c>
    </row>
    <row r="38" spans="1:16" s="12" customFormat="1" ht="18" customHeight="1">
      <c r="A38" s="188"/>
      <c r="B38" s="250" t="s">
        <v>157</v>
      </c>
      <c r="C38" s="250"/>
      <c r="D38" s="25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109" t="s">
        <v>61</v>
      </c>
      <c r="P38" s="104">
        <f>'Other Deduction'!E10</f>
        <v>0</v>
      </c>
    </row>
    <row r="39" spans="1:16" s="12" customFormat="1" ht="16.5" customHeight="1">
      <c r="A39" s="188"/>
      <c r="B39" s="250" t="s">
        <v>156</v>
      </c>
      <c r="C39" s="250"/>
      <c r="D39" s="25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109" t="s">
        <v>61</v>
      </c>
      <c r="P39" s="104">
        <f>'Other Deduction'!E11</f>
        <v>0</v>
      </c>
    </row>
    <row r="40" spans="1:16" s="12" customFormat="1" ht="16.5" customHeight="1">
      <c r="A40" s="188"/>
      <c r="B40" s="250" t="s">
        <v>155</v>
      </c>
      <c r="C40" s="250"/>
      <c r="D40" s="25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109" t="s">
        <v>61</v>
      </c>
      <c r="P40" s="104">
        <f>'Other Deduction'!E12</f>
        <v>0</v>
      </c>
    </row>
    <row r="41" spans="1:16" s="12" customFormat="1" ht="15" customHeight="1">
      <c r="A41" s="188"/>
      <c r="B41" s="191" t="s">
        <v>154</v>
      </c>
      <c r="C41" s="248"/>
      <c r="D41" s="248"/>
      <c r="E41" s="248"/>
      <c r="F41" s="248"/>
      <c r="G41" s="248"/>
      <c r="H41" s="248"/>
      <c r="I41" s="248"/>
      <c r="J41" s="248"/>
      <c r="K41" s="248"/>
      <c r="L41" s="248"/>
      <c r="M41" s="248"/>
      <c r="N41" s="249"/>
      <c r="O41" s="109" t="s">
        <v>61</v>
      </c>
      <c r="P41" s="104">
        <f>'Other Deduction'!E13</f>
        <v>0</v>
      </c>
    </row>
    <row r="42" spans="1:16" s="12" customFormat="1" ht="17.25" customHeight="1">
      <c r="A42" s="188"/>
      <c r="B42" s="251" t="s">
        <v>153</v>
      </c>
      <c r="C42" s="252"/>
      <c r="D42" s="252"/>
      <c r="E42" s="252"/>
      <c r="F42" s="252"/>
      <c r="G42" s="252"/>
      <c r="H42" s="252"/>
      <c r="I42" s="252"/>
      <c r="J42" s="252"/>
      <c r="K42" s="252"/>
      <c r="L42" s="252"/>
      <c r="M42" s="252"/>
      <c r="N42" s="253"/>
      <c r="O42" s="109" t="s">
        <v>61</v>
      </c>
      <c r="P42" s="104">
        <f>IF(Salary!E1&lt;&gt;"Yes",IF('Other Deduction'!E3&lt;50001,'Other Deduction'!E3,50000),IF('Other Deduction'!E3&lt;10001,'Other Deduction'!E3,10000))</f>
        <v>0</v>
      </c>
    </row>
    <row r="43" spans="1:16" s="12" customFormat="1" ht="15.75" customHeight="1">
      <c r="A43" s="188"/>
      <c r="B43" s="251" t="s">
        <v>152</v>
      </c>
      <c r="C43" s="252"/>
      <c r="D43" s="252"/>
      <c r="E43" s="252"/>
      <c r="F43" s="252"/>
      <c r="G43" s="252"/>
      <c r="H43" s="252"/>
      <c r="I43" s="252"/>
      <c r="J43" s="252"/>
      <c r="K43" s="252"/>
      <c r="L43" s="252"/>
      <c r="M43" s="252"/>
      <c r="N43" s="253"/>
      <c r="O43" s="109" t="s">
        <v>61</v>
      </c>
      <c r="P43" s="104">
        <f>'Other Deduction'!E14</f>
        <v>0</v>
      </c>
    </row>
    <row r="44" spans="1:16" s="12" customFormat="1" ht="15" customHeight="1">
      <c r="A44" s="234"/>
      <c r="B44" s="245" t="s">
        <v>92</v>
      </c>
      <c r="C44" s="245"/>
      <c r="D44" s="245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109" t="s">
        <v>61</v>
      </c>
      <c r="P44" s="113">
        <v>0</v>
      </c>
    </row>
    <row r="45" spans="1:16" s="12" customFormat="1" ht="15" customHeight="1">
      <c r="A45" s="101">
        <v>13</v>
      </c>
      <c r="B45" s="199" t="s">
        <v>93</v>
      </c>
      <c r="C45" s="199"/>
      <c r="D45" s="199"/>
      <c r="E45" s="199"/>
      <c r="F45" s="199"/>
      <c r="G45" s="199"/>
      <c r="H45" s="199"/>
      <c r="I45" s="199"/>
      <c r="J45" s="199"/>
      <c r="K45" s="199"/>
      <c r="L45" s="199"/>
      <c r="M45" s="199"/>
      <c r="N45" s="199"/>
      <c r="O45" s="109" t="s">
        <v>61</v>
      </c>
      <c r="P45" s="104">
        <f>P34+P44</f>
        <v>100448</v>
      </c>
    </row>
    <row r="46" spans="1:16" s="12" customFormat="1" ht="15" customHeight="1">
      <c r="A46" s="101">
        <v>14</v>
      </c>
      <c r="B46" s="175" t="s">
        <v>94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09" t="s">
        <v>61</v>
      </c>
      <c r="P46" s="104">
        <f>(P18-P45)</f>
        <v>672944</v>
      </c>
    </row>
    <row r="47" spans="1:16" s="12" customFormat="1">
      <c r="A47" s="101">
        <v>15</v>
      </c>
      <c r="B47" s="199" t="s">
        <v>95</v>
      </c>
      <c r="C47" s="199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09" t="s">
        <v>61</v>
      </c>
      <c r="P47" s="103">
        <f>ROUND(P46,-1)</f>
        <v>672940</v>
      </c>
    </row>
    <row r="48" spans="1:16" s="12" customFormat="1" ht="15" customHeight="1">
      <c r="A48" s="187">
        <v>16</v>
      </c>
      <c r="B48" s="175" t="s">
        <v>96</v>
      </c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75"/>
      <c r="P48" s="279"/>
    </row>
    <row r="49" spans="1:16" s="12" customFormat="1" ht="15" customHeight="1">
      <c r="A49" s="188"/>
      <c r="B49" s="280" t="s">
        <v>98</v>
      </c>
      <c r="C49" s="280"/>
      <c r="D49" s="280"/>
      <c r="E49" s="280"/>
      <c r="F49" s="280"/>
      <c r="G49" s="280" t="s">
        <v>97</v>
      </c>
      <c r="H49" s="280"/>
      <c r="I49" s="280"/>
      <c r="J49" s="280"/>
      <c r="K49" s="281" t="s">
        <v>99</v>
      </c>
      <c r="L49" s="282"/>
      <c r="M49" s="282"/>
      <c r="N49" s="283"/>
      <c r="O49" s="114"/>
      <c r="P49" s="115"/>
    </row>
    <row r="50" spans="1:16" s="12" customFormat="1" ht="15" customHeight="1">
      <c r="A50" s="188"/>
      <c r="B50" s="201" t="s">
        <v>102</v>
      </c>
      <c r="C50" s="202"/>
      <c r="D50" s="203"/>
      <c r="E50" s="200" t="s">
        <v>19</v>
      </c>
      <c r="F50" s="200"/>
      <c r="G50" s="201" t="s">
        <v>102</v>
      </c>
      <c r="H50" s="202"/>
      <c r="I50" s="203"/>
      <c r="J50" s="116" t="s">
        <v>19</v>
      </c>
      <c r="K50" s="201" t="s">
        <v>102</v>
      </c>
      <c r="L50" s="202"/>
      <c r="M50" s="203"/>
      <c r="N50" s="116" t="s">
        <v>19</v>
      </c>
      <c r="O50" s="109" t="s">
        <v>61</v>
      </c>
      <c r="P50" s="117">
        <v>0</v>
      </c>
    </row>
    <row r="51" spans="1:16" s="12" customFormat="1" ht="15" customHeight="1">
      <c r="A51" s="188"/>
      <c r="B51" s="201" t="s">
        <v>190</v>
      </c>
      <c r="C51" s="202"/>
      <c r="D51" s="203"/>
      <c r="E51" s="214">
        <v>0.05</v>
      </c>
      <c r="F51" s="200"/>
      <c r="G51" s="201" t="s">
        <v>190</v>
      </c>
      <c r="H51" s="202"/>
      <c r="I51" s="203"/>
      <c r="J51" s="118">
        <v>0.05</v>
      </c>
      <c r="K51" s="201" t="s">
        <v>194</v>
      </c>
      <c r="L51" s="202"/>
      <c r="M51" s="203"/>
      <c r="N51" s="118">
        <v>0.05</v>
      </c>
      <c r="O51" s="109" t="s">
        <v>61</v>
      </c>
      <c r="P51" s="117">
        <f>ROUND(IF(P47&lt;300001,0,IF(P47&gt;600000,15000,((P47-300000)*0.05))),IF(P47&lt;300001,0,IF(P47&gt;600000,10000,((P47-300000)*0.05))))</f>
        <v>15000</v>
      </c>
    </row>
    <row r="52" spans="1:16" s="12" customFormat="1" ht="15" customHeight="1">
      <c r="A52" s="188"/>
      <c r="B52" s="201" t="s">
        <v>191</v>
      </c>
      <c r="C52" s="202"/>
      <c r="D52" s="203"/>
      <c r="E52" s="214">
        <v>0.1</v>
      </c>
      <c r="F52" s="200"/>
      <c r="G52" s="201" t="s">
        <v>191</v>
      </c>
      <c r="H52" s="202"/>
      <c r="I52" s="203"/>
      <c r="J52" s="118">
        <v>0.1</v>
      </c>
      <c r="K52" s="201" t="s">
        <v>191</v>
      </c>
      <c r="L52" s="202"/>
      <c r="M52" s="203"/>
      <c r="N52" s="118">
        <v>0.1</v>
      </c>
      <c r="O52" s="109" t="s">
        <v>61</v>
      </c>
      <c r="P52" s="117">
        <f>IF(P47&lt;600001,0,IF(P47&gt;900000,30000,((P47-600000)*0.1)))</f>
        <v>7294</v>
      </c>
    </row>
    <row r="53" spans="1:16" s="12" customFormat="1" ht="15" customHeight="1">
      <c r="A53" s="188"/>
      <c r="B53" s="201" t="s">
        <v>192</v>
      </c>
      <c r="C53" s="202"/>
      <c r="D53" s="203"/>
      <c r="E53" s="286">
        <v>0.15</v>
      </c>
      <c r="F53" s="287"/>
      <c r="G53" s="201" t="s">
        <v>192</v>
      </c>
      <c r="H53" s="202"/>
      <c r="I53" s="203"/>
      <c r="J53" s="118">
        <v>0.15</v>
      </c>
      <c r="K53" s="201" t="s">
        <v>192</v>
      </c>
      <c r="L53" s="202"/>
      <c r="M53" s="203"/>
      <c r="N53" s="118">
        <v>0.15</v>
      </c>
      <c r="O53" s="109" t="s">
        <v>61</v>
      </c>
      <c r="P53" s="117">
        <f>IF(P47&lt;900001,0,IF(P47&gt;1200000,45000,((P47-900000)*0.15)))</f>
        <v>0</v>
      </c>
    </row>
    <row r="54" spans="1:16" s="12" customFormat="1" ht="15" customHeight="1">
      <c r="A54" s="188"/>
      <c r="B54" s="201" t="s">
        <v>193</v>
      </c>
      <c r="C54" s="202"/>
      <c r="D54" s="203"/>
      <c r="E54" s="286">
        <v>0.2</v>
      </c>
      <c r="F54" s="287"/>
      <c r="G54" s="201" t="s">
        <v>193</v>
      </c>
      <c r="H54" s="202"/>
      <c r="I54" s="203"/>
      <c r="J54" s="118">
        <v>0.2</v>
      </c>
      <c r="K54" s="201" t="s">
        <v>193</v>
      </c>
      <c r="L54" s="202"/>
      <c r="M54" s="203"/>
      <c r="N54" s="118">
        <v>0.2</v>
      </c>
      <c r="O54" s="109" t="s">
        <v>61</v>
      </c>
      <c r="P54" s="117">
        <f>IF(P47&lt;1200001,0,IF(P47&gt;1500000,60000,((P47-1200000)*0.2)))</f>
        <v>0</v>
      </c>
    </row>
    <row r="55" spans="1:16" s="12" customFormat="1" ht="15" customHeight="1">
      <c r="A55" s="188"/>
      <c r="B55" s="201" t="s">
        <v>186</v>
      </c>
      <c r="C55" s="202"/>
      <c r="D55" s="203"/>
      <c r="E55" s="214">
        <v>0.3</v>
      </c>
      <c r="F55" s="200"/>
      <c r="G55" s="201" t="s">
        <v>186</v>
      </c>
      <c r="H55" s="202"/>
      <c r="I55" s="203"/>
      <c r="J55" s="118">
        <v>0.3</v>
      </c>
      <c r="K55" s="201" t="s">
        <v>186</v>
      </c>
      <c r="L55" s="202"/>
      <c r="M55" s="203"/>
      <c r="N55" s="118">
        <v>0.3</v>
      </c>
      <c r="O55" s="109" t="s">
        <v>61</v>
      </c>
      <c r="P55" s="117">
        <f>IF(P47&lt;1500001,0,((P47-1500000)*0.3))</f>
        <v>0</v>
      </c>
    </row>
    <row r="56" spans="1:16" s="12" customFormat="1" ht="15" customHeight="1">
      <c r="A56" s="188"/>
      <c r="B56" s="272" t="s">
        <v>105</v>
      </c>
      <c r="C56" s="273"/>
      <c r="D56" s="273"/>
      <c r="E56" s="273"/>
      <c r="F56" s="273"/>
      <c r="G56" s="273"/>
      <c r="H56" s="273"/>
      <c r="I56" s="273"/>
      <c r="J56" s="273"/>
      <c r="K56" s="273"/>
      <c r="L56" s="273"/>
      <c r="M56" s="273"/>
      <c r="N56" s="274"/>
      <c r="O56" s="109" t="s">
        <v>61</v>
      </c>
      <c r="P56" s="103">
        <f>SUM(P50:P55)</f>
        <v>22294</v>
      </c>
    </row>
    <row r="57" spans="1:16" s="12" customFormat="1" ht="33" customHeight="1">
      <c r="A57" s="188"/>
      <c r="B57" s="288" t="s">
        <v>198</v>
      </c>
      <c r="C57" s="289"/>
      <c r="D57" s="289"/>
      <c r="E57" s="289"/>
      <c r="F57" s="289"/>
      <c r="G57" s="289"/>
      <c r="H57" s="289"/>
      <c r="I57" s="289"/>
      <c r="J57" s="289"/>
      <c r="K57" s="289"/>
      <c r="L57" s="289"/>
      <c r="M57" s="289"/>
      <c r="N57" s="290"/>
      <c r="O57" s="109" t="s">
        <v>61</v>
      </c>
      <c r="P57" s="104">
        <f>IF(P47&lt;700001,P56,0)</f>
        <v>22294</v>
      </c>
    </row>
    <row r="58" spans="1:16" s="12" customFormat="1" ht="15" customHeight="1">
      <c r="A58" s="188"/>
      <c r="B58" s="292" t="s">
        <v>197</v>
      </c>
      <c r="C58" s="293"/>
      <c r="D58" s="293"/>
      <c r="E58" s="293"/>
      <c r="F58" s="293"/>
      <c r="G58" s="293"/>
      <c r="H58" s="293"/>
      <c r="I58" s="293"/>
      <c r="J58" s="293"/>
      <c r="K58" s="293"/>
      <c r="L58" s="293"/>
      <c r="M58" s="293"/>
      <c r="N58" s="294"/>
      <c r="O58" s="109" t="s">
        <v>61</v>
      </c>
      <c r="P58" s="104">
        <f>IF(P47&lt;700001,0,IF(P47&gt;727770,0,P56-(P47-700000)))</f>
        <v>0</v>
      </c>
    </row>
    <row r="59" spans="1:16" s="12" customFormat="1" ht="15" customHeight="1">
      <c r="A59" s="188"/>
      <c r="B59" s="272" t="s">
        <v>195</v>
      </c>
      <c r="C59" s="273"/>
      <c r="D59" s="273"/>
      <c r="E59" s="273"/>
      <c r="F59" s="273"/>
      <c r="G59" s="273"/>
      <c r="H59" s="273"/>
      <c r="I59" s="273"/>
      <c r="J59" s="273"/>
      <c r="K59" s="273"/>
      <c r="L59" s="273"/>
      <c r="M59" s="273"/>
      <c r="N59" s="274"/>
      <c r="O59" s="109" t="s">
        <v>61</v>
      </c>
      <c r="P59" s="104">
        <f>P56-P57-P58</f>
        <v>0</v>
      </c>
    </row>
    <row r="60" spans="1:16" s="12" customFormat="1" ht="15" customHeight="1">
      <c r="A60" s="188"/>
      <c r="B60" s="291" t="s">
        <v>196</v>
      </c>
      <c r="C60" s="291"/>
      <c r="D60" s="291"/>
      <c r="E60" s="291"/>
      <c r="F60" s="291"/>
      <c r="G60" s="291"/>
      <c r="H60" s="291"/>
      <c r="I60" s="291"/>
      <c r="J60" s="291"/>
      <c r="K60" s="291"/>
      <c r="L60" s="291"/>
      <c r="M60" s="291"/>
      <c r="N60" s="291"/>
      <c r="O60" s="109" t="s">
        <v>61</v>
      </c>
      <c r="P60" s="104">
        <f>ROUND(P59*0.04,0)</f>
        <v>0</v>
      </c>
    </row>
    <row r="61" spans="1:16" s="12" customFormat="1" ht="15" customHeight="1">
      <c r="A61" s="234"/>
      <c r="B61" s="276" t="s">
        <v>109</v>
      </c>
      <c r="C61" s="277"/>
      <c r="D61" s="277"/>
      <c r="E61" s="277"/>
      <c r="F61" s="277"/>
      <c r="G61" s="277"/>
      <c r="H61" s="277"/>
      <c r="I61" s="277"/>
      <c r="J61" s="277"/>
      <c r="K61" s="277"/>
      <c r="L61" s="277"/>
      <c r="M61" s="277"/>
      <c r="N61" s="278"/>
      <c r="O61" s="109" t="s">
        <v>61</v>
      </c>
      <c r="P61" s="103">
        <f>SUM(P59:P60)</f>
        <v>0</v>
      </c>
    </row>
    <row r="62" spans="1:16" s="12" customFormat="1" ht="15" customHeight="1">
      <c r="A62" s="101">
        <v>17</v>
      </c>
      <c r="B62" s="235" t="s">
        <v>110</v>
      </c>
      <c r="C62" s="236"/>
      <c r="D62" s="236"/>
      <c r="E62" s="236"/>
      <c r="F62" s="236"/>
      <c r="G62" s="236"/>
      <c r="H62" s="236"/>
      <c r="I62" s="236"/>
      <c r="J62" s="236"/>
      <c r="K62" s="236"/>
      <c r="L62" s="236"/>
      <c r="M62" s="236"/>
      <c r="N62" s="237"/>
      <c r="O62" s="109" t="s">
        <v>61</v>
      </c>
      <c r="P62" s="104">
        <f>'Other Deduction'!E17</f>
        <v>0</v>
      </c>
    </row>
    <row r="63" spans="1:16" s="12" customFormat="1" ht="15" customHeight="1">
      <c r="A63" s="101">
        <v>18</v>
      </c>
      <c r="B63" s="199" t="s">
        <v>111</v>
      </c>
      <c r="C63" s="199"/>
      <c r="D63" s="199"/>
      <c r="E63" s="199"/>
      <c r="F63" s="199"/>
      <c r="G63" s="199"/>
      <c r="H63" s="199"/>
      <c r="I63" s="199"/>
      <c r="J63" s="199"/>
      <c r="K63" s="199"/>
      <c r="L63" s="199"/>
      <c r="M63" s="199"/>
      <c r="N63" s="199"/>
      <c r="O63" s="109" t="s">
        <v>61</v>
      </c>
      <c r="P63" s="103">
        <f>P61-P62</f>
        <v>0</v>
      </c>
    </row>
    <row r="64" spans="1:16" ht="46.5" customHeight="1">
      <c r="A64" s="187">
        <v>19</v>
      </c>
      <c r="B64" s="265" t="s">
        <v>112</v>
      </c>
      <c r="C64" s="266"/>
      <c r="D64" s="267"/>
      <c r="E64" s="262" t="s">
        <v>199</v>
      </c>
      <c r="F64" s="262"/>
      <c r="G64" s="262"/>
      <c r="H64" s="262"/>
      <c r="I64" s="263" t="s">
        <v>200</v>
      </c>
      <c r="J64" s="264"/>
      <c r="K64" s="119" t="s">
        <v>201</v>
      </c>
      <c r="L64" s="263" t="s">
        <v>202</v>
      </c>
      <c r="M64" s="264"/>
      <c r="N64" s="119" t="s">
        <v>114</v>
      </c>
      <c r="O64" s="263" t="s">
        <v>115</v>
      </c>
      <c r="P64" s="285"/>
    </row>
    <row r="65" spans="1:17">
      <c r="A65" s="234"/>
      <c r="B65" s="268"/>
      <c r="C65" s="269"/>
      <c r="D65" s="270"/>
      <c r="E65" s="257">
        <f>SUM(Salary!W8:W14)</f>
        <v>7000</v>
      </c>
      <c r="F65" s="257"/>
      <c r="G65" s="257"/>
      <c r="H65" s="257"/>
      <c r="I65" s="257">
        <f>SUM(Salary!W15:W17)</f>
        <v>3000</v>
      </c>
      <c r="J65" s="257"/>
      <c r="K65" s="120">
        <f>Salary!W18</f>
        <v>1000</v>
      </c>
      <c r="L65" s="257">
        <f>Salary!W19</f>
        <v>1000</v>
      </c>
      <c r="M65" s="257"/>
      <c r="N65" s="121">
        <f>SUM(Salary!W20:W27)+'Other Deduction'!E18</f>
        <v>0</v>
      </c>
      <c r="O65" s="258">
        <f>E65+I65+K65+L65+N65</f>
        <v>12000</v>
      </c>
      <c r="P65" s="259"/>
    </row>
    <row r="66" spans="1:17" ht="16.5" thickBot="1">
      <c r="A66" s="260" t="str">
        <f>IF(P63&gt;O65,"Income Tax Payable",IF(P63&lt;O65,"Income Tax Refundable","Income Tax Payble/Refundable"))</f>
        <v>Income Tax Refundable</v>
      </c>
      <c r="B66" s="261"/>
      <c r="C66" s="261"/>
      <c r="D66" s="261"/>
      <c r="E66" s="261"/>
      <c r="F66" s="261"/>
      <c r="G66" s="261"/>
      <c r="H66" s="261"/>
      <c r="I66" s="261"/>
      <c r="J66" s="261"/>
      <c r="K66" s="261"/>
      <c r="L66" s="261"/>
      <c r="M66" s="261"/>
      <c r="N66" s="261"/>
      <c r="O66" s="109" t="s">
        <v>61</v>
      </c>
      <c r="P66" s="122">
        <f>IF(P63&gt;O65,P63-O65,O65-P63)</f>
        <v>12000</v>
      </c>
    </row>
    <row r="67" spans="1:17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7"/>
      <c r="P67" s="18"/>
    </row>
    <row r="68" spans="1:17">
      <c r="A68" s="58"/>
      <c r="B68" s="161" t="s">
        <v>116</v>
      </c>
      <c r="C68" s="161"/>
      <c r="D68" s="161"/>
      <c r="E68" s="161"/>
      <c r="F68" s="59"/>
      <c r="G68" s="59"/>
      <c r="H68" s="59"/>
      <c r="I68" s="59"/>
      <c r="J68" s="59"/>
      <c r="K68" s="59"/>
      <c r="L68" s="161" t="s">
        <v>24</v>
      </c>
      <c r="M68" s="161"/>
      <c r="N68" s="161"/>
      <c r="O68" s="161"/>
      <c r="P68" s="60"/>
    </row>
    <row r="69" spans="1:17">
      <c r="A69" s="161"/>
      <c r="B69" s="161"/>
      <c r="C69" s="161"/>
      <c r="D69" s="161"/>
      <c r="E69" s="59"/>
      <c r="F69" s="59"/>
      <c r="G69" s="59"/>
      <c r="H69" s="59"/>
      <c r="I69" s="59"/>
      <c r="J69" s="59"/>
      <c r="K69" s="59"/>
      <c r="L69" s="59"/>
      <c r="M69" s="161"/>
      <c r="N69" s="161"/>
      <c r="O69" s="161"/>
      <c r="P69" s="161"/>
    </row>
    <row r="70" spans="1:17" s="32" customFormat="1" ht="15.75" hidden="1" customHeight="1">
      <c r="A70" s="61"/>
      <c r="B70" s="284"/>
      <c r="C70" s="284"/>
      <c r="D70" s="284"/>
      <c r="E70" s="284"/>
      <c r="F70" s="284"/>
      <c r="G70" s="284"/>
      <c r="H70" s="284"/>
      <c r="I70" s="284"/>
      <c r="J70" s="284"/>
      <c r="K70" s="284"/>
      <c r="L70" s="284"/>
      <c r="M70" s="284"/>
      <c r="N70" s="284"/>
      <c r="O70" s="284"/>
      <c r="P70" s="284"/>
    </row>
    <row r="71" spans="1:17" s="32" customFormat="1" ht="15.75" hidden="1" customHeight="1">
      <c r="A71" s="62"/>
      <c r="B71" s="284"/>
      <c r="C71" s="284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</row>
    <row r="72" spans="1:17" s="32" customFormat="1" ht="24" hidden="1" customHeight="1">
      <c r="A72" s="61"/>
      <c r="B72" s="284"/>
      <c r="C72" s="284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</row>
    <row r="73" spans="1:17" s="32" customFormat="1" ht="15.75" hidden="1" customHeight="1">
      <c r="A73" s="61"/>
      <c r="B73" s="63"/>
      <c r="C73" s="63"/>
      <c r="D73" s="63"/>
      <c r="E73" s="63"/>
      <c r="F73" s="63"/>
      <c r="G73" s="63"/>
      <c r="H73" s="63"/>
      <c r="I73" s="63"/>
      <c r="J73" s="63"/>
      <c r="K73" s="271"/>
      <c r="L73" s="271"/>
      <c r="M73" s="271"/>
      <c r="N73" s="271"/>
      <c r="O73" s="271"/>
      <c r="P73" s="271"/>
    </row>
    <row r="74" spans="1:17" s="32" customFormat="1" ht="15.75" hidden="1" customHeight="1">
      <c r="A74" s="61"/>
      <c r="B74" s="63"/>
      <c r="C74" s="63"/>
      <c r="D74" s="63"/>
      <c r="E74" s="63"/>
      <c r="F74" s="63"/>
      <c r="G74" s="63"/>
      <c r="H74" s="63"/>
      <c r="I74" s="63"/>
      <c r="J74" s="63"/>
      <c r="K74" s="271"/>
      <c r="L74" s="271"/>
      <c r="M74" s="271"/>
      <c r="N74" s="271"/>
      <c r="O74" s="271"/>
      <c r="P74" s="271"/>
    </row>
    <row r="75" spans="1:17" s="32" customFormat="1" ht="15.75" hidden="1" customHeight="1">
      <c r="A75" s="61"/>
      <c r="B75" s="63"/>
      <c r="C75" s="63"/>
      <c r="D75" s="63"/>
      <c r="E75" s="63"/>
      <c r="F75" s="63"/>
      <c r="G75" s="63"/>
      <c r="H75" s="63"/>
      <c r="I75" s="63"/>
      <c r="J75" s="63"/>
      <c r="K75" s="271"/>
      <c r="L75" s="271"/>
      <c r="M75" s="271"/>
      <c r="N75" s="271"/>
      <c r="O75" s="271"/>
      <c r="P75" s="271"/>
    </row>
    <row r="76" spans="1:17" s="32" customFormat="1" ht="15.75" hidden="1" customHeight="1">
      <c r="A76" s="61"/>
      <c r="B76" s="63"/>
      <c r="C76" s="63"/>
      <c r="D76" s="63"/>
      <c r="E76" s="63"/>
      <c r="F76" s="63"/>
      <c r="G76" s="63"/>
      <c r="H76" s="63"/>
      <c r="I76" s="63"/>
      <c r="J76" s="63"/>
      <c r="K76" s="271"/>
      <c r="L76" s="271"/>
      <c r="M76" s="271"/>
      <c r="N76" s="271"/>
      <c r="O76" s="271"/>
      <c r="P76" s="271"/>
    </row>
    <row r="77" spans="1:17" s="32" customFormat="1" ht="15.75" hidden="1" customHeight="1">
      <c r="A77" s="61"/>
      <c r="B77" s="63"/>
      <c r="C77" s="63"/>
      <c r="D77" s="63"/>
      <c r="E77" s="63"/>
      <c r="F77" s="63"/>
      <c r="G77" s="63"/>
      <c r="H77" s="63"/>
      <c r="I77" s="63"/>
      <c r="J77" s="63"/>
      <c r="K77" s="271"/>
      <c r="L77" s="271"/>
      <c r="M77" s="271"/>
      <c r="N77" s="271"/>
      <c r="O77" s="271"/>
      <c r="P77" s="271"/>
    </row>
    <row r="78" spans="1:17" s="32" customFormat="1" hidden="1">
      <c r="A78" s="62"/>
      <c r="B78" s="64"/>
      <c r="C78" s="204"/>
      <c r="D78" s="204"/>
      <c r="E78" s="204"/>
      <c r="F78" s="204"/>
      <c r="G78" s="204"/>
      <c r="H78" s="204"/>
      <c r="I78" s="204"/>
      <c r="J78" s="64"/>
      <c r="K78" s="271"/>
      <c r="L78" s="271"/>
      <c r="M78" s="271"/>
      <c r="N78" s="271"/>
      <c r="O78" s="271"/>
      <c r="P78" s="271"/>
    </row>
    <row r="79" spans="1:17" s="32" customFormat="1" hidden="1">
      <c r="A79" s="62"/>
      <c r="B79" s="64"/>
      <c r="C79" s="64"/>
      <c r="D79" s="64"/>
      <c r="E79" s="64"/>
      <c r="F79" s="64"/>
      <c r="G79" s="64"/>
      <c r="H79" s="64"/>
      <c r="I79" s="64"/>
      <c r="J79" s="64"/>
      <c r="K79" s="271"/>
      <c r="L79" s="271"/>
      <c r="M79" s="271"/>
      <c r="N79" s="271"/>
      <c r="O79" s="271"/>
      <c r="P79" s="271"/>
    </row>
    <row r="80" spans="1:17" hidden="1">
      <c r="A80" s="65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8"/>
      <c r="Q80" s="31"/>
    </row>
    <row r="81" spans="1:17" hidden="1">
      <c r="A81" s="65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/>
      <c r="P81" s="68"/>
      <c r="Q81" s="31"/>
    </row>
    <row r="82" spans="1:17" hidden="1">
      <c r="A82" s="65"/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8"/>
      <c r="Q82" s="31"/>
    </row>
    <row r="83" spans="1:17" hidden="1">
      <c r="A83" s="69"/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1"/>
      <c r="P83" s="72"/>
    </row>
    <row r="84" spans="1:17" hidden="1">
      <c r="A84" s="69"/>
      <c r="B84" s="70"/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1"/>
      <c r="P84" s="72"/>
    </row>
    <row r="85" spans="1:17" hidden="1">
      <c r="A85" s="69"/>
      <c r="B85" s="70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1"/>
      <c r="P85" s="72"/>
    </row>
    <row r="86" spans="1:17" hidden="1"/>
    <row r="87" spans="1:17" ht="15.75" customHeight="1"/>
  </sheetData>
  <sheetProtection password="FC12" sheet="1" objects="1" scenarios="1"/>
  <mergeCells count="134">
    <mergeCell ref="B51:D51"/>
    <mergeCell ref="E51:F51"/>
    <mergeCell ref="G51:I51"/>
    <mergeCell ref="K51:M51"/>
    <mergeCell ref="B52:D52"/>
    <mergeCell ref="E52:F52"/>
    <mergeCell ref="G52:I52"/>
    <mergeCell ref="K52:M52"/>
    <mergeCell ref="B58:N58"/>
    <mergeCell ref="B68:E68"/>
    <mergeCell ref="L68:O68"/>
    <mergeCell ref="A69:D69"/>
    <mergeCell ref="M69:P69"/>
    <mergeCell ref="B70:P72"/>
    <mergeCell ref="K73:P79"/>
    <mergeCell ref="C78:I78"/>
    <mergeCell ref="O64:P64"/>
    <mergeCell ref="E65:H65"/>
    <mergeCell ref="I65:J65"/>
    <mergeCell ref="L65:M65"/>
    <mergeCell ref="O65:P65"/>
    <mergeCell ref="A66:N66"/>
    <mergeCell ref="B63:N63"/>
    <mergeCell ref="A64:A65"/>
    <mergeCell ref="B64:D65"/>
    <mergeCell ref="E64:H64"/>
    <mergeCell ref="I64:J64"/>
    <mergeCell ref="L64:M64"/>
    <mergeCell ref="B56:N56"/>
    <mergeCell ref="B57:N57"/>
    <mergeCell ref="B59:N59"/>
    <mergeCell ref="B60:N60"/>
    <mergeCell ref="B61:N61"/>
    <mergeCell ref="B62:N62"/>
    <mergeCell ref="B45:N45"/>
    <mergeCell ref="B46:N46"/>
    <mergeCell ref="B47:N47"/>
    <mergeCell ref="A48:A61"/>
    <mergeCell ref="B48:P48"/>
    <mergeCell ref="B49:F49"/>
    <mergeCell ref="G49:J49"/>
    <mergeCell ref="K49:N49"/>
    <mergeCell ref="B55:D55"/>
    <mergeCell ref="E55:F55"/>
    <mergeCell ref="G55:I55"/>
    <mergeCell ref="K55:M55"/>
    <mergeCell ref="B53:D53"/>
    <mergeCell ref="E53:F53"/>
    <mergeCell ref="G53:I53"/>
    <mergeCell ref="K53:M53"/>
    <mergeCell ref="B54:D54"/>
    <mergeCell ref="E54:F54"/>
    <mergeCell ref="G54:I54"/>
    <mergeCell ref="K54:M54"/>
    <mergeCell ref="B50:D50"/>
    <mergeCell ref="E50:F50"/>
    <mergeCell ref="G50:I50"/>
    <mergeCell ref="K50:M50"/>
    <mergeCell ref="B34:N34"/>
    <mergeCell ref="A35:A44"/>
    <mergeCell ref="B35:P35"/>
    <mergeCell ref="B36:N36"/>
    <mergeCell ref="B37:N37"/>
    <mergeCell ref="B38:N38"/>
    <mergeCell ref="B39:N39"/>
    <mergeCell ref="B40:N40"/>
    <mergeCell ref="B41:N41"/>
    <mergeCell ref="B42:N42"/>
    <mergeCell ref="B43:N43"/>
    <mergeCell ref="B44:N44"/>
    <mergeCell ref="J29:L29"/>
    <mergeCell ref="B30:L30"/>
    <mergeCell ref="B31:N31"/>
    <mergeCell ref="B32:N32"/>
    <mergeCell ref="B33:N33"/>
    <mergeCell ref="C26:F26"/>
    <mergeCell ref="J26:L26"/>
    <mergeCell ref="C27:F27"/>
    <mergeCell ref="J27:L27"/>
    <mergeCell ref="C28:F28"/>
    <mergeCell ref="J28:L28"/>
    <mergeCell ref="A19:A31"/>
    <mergeCell ref="B19:P19"/>
    <mergeCell ref="B20:P20"/>
    <mergeCell ref="C21:F21"/>
    <mergeCell ref="J21:L21"/>
    <mergeCell ref="O21:P30"/>
    <mergeCell ref="C22:F22"/>
    <mergeCell ref="L13:N13"/>
    <mergeCell ref="D14:F14"/>
    <mergeCell ref="G14:I14"/>
    <mergeCell ref="J14:K14"/>
    <mergeCell ref="L14:N14"/>
    <mergeCell ref="B15:N15"/>
    <mergeCell ref="J22:L22"/>
    <mergeCell ref="C23:F23"/>
    <mergeCell ref="J23:L23"/>
    <mergeCell ref="C24:F24"/>
    <mergeCell ref="J24:L24"/>
    <mergeCell ref="C25:F25"/>
    <mergeCell ref="J25:L25"/>
    <mergeCell ref="B16:N16"/>
    <mergeCell ref="B17:N17"/>
    <mergeCell ref="B18:N18"/>
    <mergeCell ref="C29:F29"/>
    <mergeCell ref="B11:N11"/>
    <mergeCell ref="A12:A14"/>
    <mergeCell ref="B12:I12"/>
    <mergeCell ref="J12:K12"/>
    <mergeCell ref="L12:N12"/>
    <mergeCell ref="O12:P14"/>
    <mergeCell ref="B13:C14"/>
    <mergeCell ref="D13:F13"/>
    <mergeCell ref="G13:I13"/>
    <mergeCell ref="J13:K13"/>
    <mergeCell ref="A7:A10"/>
    <mergeCell ref="B7:K7"/>
    <mergeCell ref="L7:N7"/>
    <mergeCell ref="A1:P1"/>
    <mergeCell ref="A2:P2"/>
    <mergeCell ref="B3:C3"/>
    <mergeCell ref="D3:I3"/>
    <mergeCell ref="K3:M3"/>
    <mergeCell ref="O3:P3"/>
    <mergeCell ref="O7:P9"/>
    <mergeCell ref="B8:K8"/>
    <mergeCell ref="L8:N8"/>
    <mergeCell ref="B9:K9"/>
    <mergeCell ref="L9:N9"/>
    <mergeCell ref="B10:K10"/>
    <mergeCell ref="L10:N10"/>
    <mergeCell ref="B4:N4"/>
    <mergeCell ref="B5:N5"/>
    <mergeCell ref="B6:N6"/>
  </mergeCells>
  <printOptions horizontalCentered="1"/>
  <pageMargins left="0.39370078740157499" right="0.23622047244094499" top="0.23622047244094499" bottom="0.27559055118110198" header="0.196850393700787" footer="0.23622047244094499"/>
  <pageSetup paperSize="9" scale="72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</vt:lpstr>
      <vt:lpstr>Other Deduction</vt:lpstr>
      <vt:lpstr>Tax Old Regime</vt:lpstr>
      <vt:lpstr>Tax New Regime</vt:lpstr>
      <vt:lpstr>Salary!Print_Area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 Meghwal</cp:lastModifiedBy>
  <cp:lastPrinted>2024-01-06T09:54:37Z</cp:lastPrinted>
  <dcterms:created xsi:type="dcterms:W3CDTF">2013-12-06T08:14:36Z</dcterms:created>
  <dcterms:modified xsi:type="dcterms:W3CDTF">2024-02-15T13:47:42Z</dcterms:modified>
</cp:coreProperties>
</file>