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-55" sheetId="2" r:id="rId1"/>
    <sheet name="Other Deduction" sheetId="1" r:id="rId2"/>
    <sheet name="Tax Old Regime" sheetId="3" r:id="rId3"/>
    <sheet name="Tax New Regime" sheetId="8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'GA-55'!$C$6:$AC$39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'GA-55'!$AE:$XFD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'GA-55'!$C$6:$AC$37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'GA-55'!$950:$1048576,'GA-55'!$38:$949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'GA-55'!$AE:$XFD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'GA-55'!$C$6:$AC$37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'GA-55'!$950:$1048576,'GA-55'!$38:$949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G11" i="2"/>
  <c r="H12"/>
  <c r="I13"/>
  <c r="I14" s="1"/>
  <c r="I15" s="1"/>
  <c r="I16" s="1"/>
  <c r="I17" s="1"/>
  <c r="I18" s="1"/>
  <c r="I19" s="1"/>
  <c r="I20" s="1"/>
  <c r="I21" s="1"/>
  <c r="I22" s="1"/>
  <c r="I12"/>
  <c r="F11"/>
  <c r="H11" s="1"/>
  <c r="I26" i="8"/>
  <c r="I26" i="3"/>
  <c r="O10" i="2"/>
  <c r="Y26"/>
  <c r="O65" i="8" l="1"/>
  <c r="Q62"/>
  <c r="Q43"/>
  <c r="Q42"/>
  <c r="Q41"/>
  <c r="Q40"/>
  <c r="Q39"/>
  <c r="Q38"/>
  <c r="Q37"/>
  <c r="Q36"/>
  <c r="Q33"/>
  <c r="O28"/>
  <c r="O27"/>
  <c r="I27"/>
  <c r="O26"/>
  <c r="O25"/>
  <c r="O24"/>
  <c r="I24"/>
  <c r="O23"/>
  <c r="I23"/>
  <c r="O22"/>
  <c r="I22"/>
  <c r="O21"/>
  <c r="Q16"/>
  <c r="K13"/>
  <c r="M8"/>
  <c r="M7"/>
  <c r="P3"/>
  <c r="L3"/>
  <c r="E3"/>
  <c r="B1"/>
  <c r="Q44" l="1"/>
  <c r="E13"/>
  <c r="M13" s="1"/>
  <c r="Q14" s="1"/>
  <c r="F17" i="1" l="1"/>
  <c r="A2" l="1"/>
  <c r="S11" i="2"/>
  <c r="Q42" i="3"/>
  <c r="Q59"/>
  <c r="Q40"/>
  <c r="Q39"/>
  <c r="Q38"/>
  <c r="Q37"/>
  <c r="Q36"/>
  <c r="Q33"/>
  <c r="Q43"/>
  <c r="Q41"/>
  <c r="O25"/>
  <c r="O24"/>
  <c r="O21"/>
  <c r="AA28" i="2"/>
  <c r="N31"/>
  <c r="N30"/>
  <c r="N27"/>
  <c r="Q16" i="3"/>
  <c r="M8"/>
  <c r="D12" i="2"/>
  <c r="Y12"/>
  <c r="Y13" s="1"/>
  <c r="Y14" s="1"/>
  <c r="Y15" s="1"/>
  <c r="Y16" s="1"/>
  <c r="Y17" s="1"/>
  <c r="Y18" s="1"/>
  <c r="Y19" s="1"/>
  <c r="Y20" s="1"/>
  <c r="Y21" s="1"/>
  <c r="Y22" s="1"/>
  <c r="J13"/>
  <c r="O11" l="1"/>
  <c r="F12"/>
  <c r="O62" i="3"/>
  <c r="S12" i="2"/>
  <c r="AA30"/>
  <c r="AB30" s="1"/>
  <c r="AA31"/>
  <c r="AB31" s="1"/>
  <c r="AB28"/>
  <c r="AA29"/>
  <c r="AB29" s="1"/>
  <c r="O12"/>
  <c r="G12"/>
  <c r="P3" i="3"/>
  <c r="O28"/>
  <c r="D26" i="2"/>
  <c r="Z32"/>
  <c r="U32"/>
  <c r="K12"/>
  <c r="K13" s="1"/>
  <c r="K14" s="1"/>
  <c r="K15" s="1"/>
  <c r="K16" s="1"/>
  <c r="K17" s="1"/>
  <c r="K18" s="1"/>
  <c r="K19" s="1"/>
  <c r="K20" s="1"/>
  <c r="K21" s="1"/>
  <c r="K22" s="1"/>
  <c r="AA27"/>
  <c r="AA25"/>
  <c r="P10"/>
  <c r="N26" l="1"/>
  <c r="O26"/>
  <c r="AA26" s="1"/>
  <c r="K32"/>
  <c r="O27" i="3"/>
  <c r="I24"/>
  <c r="W12" i="2"/>
  <c r="V12"/>
  <c r="AB26" l="1"/>
  <c r="AA11"/>
  <c r="Q12" l="1"/>
  <c r="W13"/>
  <c r="V13"/>
  <c r="T12"/>
  <c r="R12"/>
  <c r="P12"/>
  <c r="M7" i="3"/>
  <c r="O26"/>
  <c r="O23"/>
  <c r="O22"/>
  <c r="I27"/>
  <c r="I23"/>
  <c r="I22"/>
  <c r="K13"/>
  <c r="M11"/>
  <c r="E13" s="1"/>
  <c r="Q5"/>
  <c r="L3"/>
  <c r="E3"/>
  <c r="B1"/>
  <c r="J14" i="2"/>
  <c r="J15" s="1"/>
  <c r="J16" s="1"/>
  <c r="J17" s="1"/>
  <c r="J18" s="1"/>
  <c r="J19" s="1"/>
  <c r="J20" s="1"/>
  <c r="J21" s="1"/>
  <c r="J22" s="1"/>
  <c r="J12"/>
  <c r="M12"/>
  <c r="L12"/>
  <c r="E12"/>
  <c r="J32" l="1"/>
  <c r="E13"/>
  <c r="E14" s="1"/>
  <c r="E15" s="1"/>
  <c r="E16" s="1"/>
  <c r="E17" s="1"/>
  <c r="E18" s="1"/>
  <c r="E19" s="1"/>
  <c r="E20" s="1"/>
  <c r="E21" s="1"/>
  <c r="E22" s="1"/>
  <c r="R13"/>
  <c r="R14" s="1"/>
  <c r="R15" s="1"/>
  <c r="R16" s="1"/>
  <c r="R17" s="1"/>
  <c r="R18" s="1"/>
  <c r="R19" s="1"/>
  <c r="R20" s="1"/>
  <c r="R21" s="1"/>
  <c r="R22" s="1"/>
  <c r="Q13"/>
  <c r="Q14" s="1"/>
  <c r="Q15" s="1"/>
  <c r="Q16" s="1"/>
  <c r="Q17" s="1"/>
  <c r="Q18" s="1"/>
  <c r="Q19" s="1"/>
  <c r="Q20" s="1"/>
  <c r="Q21" s="1"/>
  <c r="Q22" s="1"/>
  <c r="L13"/>
  <c r="L14" s="1"/>
  <c r="L15" s="1"/>
  <c r="L16" s="1"/>
  <c r="L17" s="1"/>
  <c r="L18" s="1"/>
  <c r="L19" s="1"/>
  <c r="L20" s="1"/>
  <c r="L21" s="1"/>
  <c r="L22" s="1"/>
  <c r="P13"/>
  <c r="P14" s="1"/>
  <c r="P15" s="1"/>
  <c r="P16" s="1"/>
  <c r="P17" s="1"/>
  <c r="P18" s="1"/>
  <c r="P19" s="1"/>
  <c r="P20" s="1"/>
  <c r="P21" s="1"/>
  <c r="P22" s="1"/>
  <c r="T13"/>
  <c r="T14" s="1"/>
  <c r="T15" s="1"/>
  <c r="T16" s="1"/>
  <c r="T17" s="1"/>
  <c r="T18" s="1"/>
  <c r="T19" s="1"/>
  <c r="T20" s="1"/>
  <c r="T21" s="1"/>
  <c r="T22" s="1"/>
  <c r="D13"/>
  <c r="Q44" i="3"/>
  <c r="AB27" i="2"/>
  <c r="W14"/>
  <c r="W15" s="1"/>
  <c r="W16" s="1"/>
  <c r="W17" s="1"/>
  <c r="W18" s="1"/>
  <c r="W19" s="1"/>
  <c r="W20" s="1"/>
  <c r="W21" s="1"/>
  <c r="W22" s="1"/>
  <c r="V14"/>
  <c r="V15" s="1"/>
  <c r="V16" s="1"/>
  <c r="V17" s="1"/>
  <c r="V18" s="1"/>
  <c r="V19" s="1"/>
  <c r="V20" s="1"/>
  <c r="V21" s="1"/>
  <c r="V22" s="1"/>
  <c r="N11"/>
  <c r="X12" s="1"/>
  <c r="M13"/>
  <c r="M14" s="1"/>
  <c r="M15" s="1"/>
  <c r="M16" s="1"/>
  <c r="M17" s="1"/>
  <c r="M18" s="1"/>
  <c r="M19" s="1"/>
  <c r="M20" s="1"/>
  <c r="M21" s="1"/>
  <c r="M22" s="1"/>
  <c r="H13" l="1"/>
  <c r="S13"/>
  <c r="F13"/>
  <c r="O13" s="1"/>
  <c r="G13"/>
  <c r="L32"/>
  <c r="R32"/>
  <c r="T32"/>
  <c r="D14"/>
  <c r="AA12"/>
  <c r="P32"/>
  <c r="V32"/>
  <c r="X13"/>
  <c r="X14" s="1"/>
  <c r="X15" s="1"/>
  <c r="X16" s="1"/>
  <c r="X17" s="1"/>
  <c r="X18" s="1"/>
  <c r="N12"/>
  <c r="W32"/>
  <c r="H13" i="3" s="1"/>
  <c r="M32" i="2"/>
  <c r="Q32"/>
  <c r="E32"/>
  <c r="H14" l="1"/>
  <c r="I28" i="3"/>
  <c r="I28" i="8"/>
  <c r="I20"/>
  <c r="I20" i="3"/>
  <c r="X19" i="2"/>
  <c r="X20" s="1"/>
  <c r="X21" s="1"/>
  <c r="F65" i="8"/>
  <c r="I21" i="3"/>
  <c r="I21" i="8"/>
  <c r="S14" i="2"/>
  <c r="F14"/>
  <c r="O14" s="1"/>
  <c r="D15"/>
  <c r="G14"/>
  <c r="AB12"/>
  <c r="N13"/>
  <c r="AA13"/>
  <c r="F62" i="3"/>
  <c r="M13"/>
  <c r="Q14" s="1"/>
  <c r="H15" i="2" l="1"/>
  <c r="J65" i="8"/>
  <c r="X22" i="2"/>
  <c r="M65" i="8" s="1"/>
  <c r="L65"/>
  <c r="N14" i="2"/>
  <c r="F23"/>
  <c r="N23" s="1"/>
  <c r="G15"/>
  <c r="G24"/>
  <c r="F15"/>
  <c r="O15" s="1"/>
  <c r="S15"/>
  <c r="AB13"/>
  <c r="AA14"/>
  <c r="D16"/>
  <c r="P65" i="8" l="1"/>
  <c r="X32" i="2"/>
  <c r="O23"/>
  <c r="Y23" s="1"/>
  <c r="Y32" s="1"/>
  <c r="F16"/>
  <c r="O16" s="1"/>
  <c r="G16"/>
  <c r="S16"/>
  <c r="N15"/>
  <c r="AB14"/>
  <c r="AA15"/>
  <c r="J62" i="3"/>
  <c r="D17" i="2"/>
  <c r="I29" i="3" l="1"/>
  <c r="I29" i="8"/>
  <c r="H16" i="2"/>
  <c r="N16" s="1"/>
  <c r="G17"/>
  <c r="F17"/>
  <c r="O17" s="1"/>
  <c r="S17"/>
  <c r="AB15"/>
  <c r="AA16"/>
  <c r="M62" i="3"/>
  <c r="L62"/>
  <c r="F8" i="1"/>
  <c r="D18" i="2"/>
  <c r="H17" l="1"/>
  <c r="N17" s="1"/>
  <c r="H18"/>
  <c r="F18"/>
  <c r="O18" s="1"/>
  <c r="G18"/>
  <c r="S18"/>
  <c r="AB16"/>
  <c r="AA17"/>
  <c r="D25"/>
  <c r="F25" s="1"/>
  <c r="P62" i="3"/>
  <c r="D19" i="2"/>
  <c r="H19" l="1"/>
  <c r="N18"/>
  <c r="G19"/>
  <c r="F19"/>
  <c r="O19" s="1"/>
  <c r="S19"/>
  <c r="AB17"/>
  <c r="AA18"/>
  <c r="AB11"/>
  <c r="D20"/>
  <c r="H20" l="1"/>
  <c r="F20"/>
  <c r="O20" s="1"/>
  <c r="G20"/>
  <c r="S20"/>
  <c r="AB18"/>
  <c r="N19"/>
  <c r="N24"/>
  <c r="AA24"/>
  <c r="N25"/>
  <c r="AB25" s="1"/>
  <c r="AA19"/>
  <c r="D21"/>
  <c r="F21" l="1"/>
  <c r="O21" s="1"/>
  <c r="G21"/>
  <c r="S21"/>
  <c r="AB19"/>
  <c r="AB24"/>
  <c r="AA20"/>
  <c r="N20"/>
  <c r="D22"/>
  <c r="H22" l="1"/>
  <c r="H21"/>
  <c r="G22"/>
  <c r="G32" s="1"/>
  <c r="F22"/>
  <c r="O22" s="1"/>
  <c r="S22"/>
  <c r="S32" s="1"/>
  <c r="AA21"/>
  <c r="AB20"/>
  <c r="N21"/>
  <c r="D32"/>
  <c r="F32" l="1"/>
  <c r="AB21"/>
  <c r="AA22"/>
  <c r="F19" i="1"/>
  <c r="N22" i="2" l="1"/>
  <c r="AB22" l="1"/>
  <c r="N32"/>
  <c r="F4" i="1" l="1"/>
  <c r="Q9" i="8"/>
  <c r="AA23" i="2"/>
  <c r="AA32" s="1"/>
  <c r="O32"/>
  <c r="I25" i="3" s="1"/>
  <c r="O20" l="1"/>
  <c r="O30" s="1"/>
  <c r="I25" i="8"/>
  <c r="AB23" i="2"/>
  <c r="AB32" s="1"/>
  <c r="Q4" i="3"/>
  <c r="Q6" s="1"/>
  <c r="M9" s="1"/>
  <c r="Q9" s="1"/>
  <c r="Q10" s="1"/>
  <c r="Q15" s="1"/>
  <c r="Q17" s="1"/>
  <c r="Q4" i="8"/>
  <c r="Q6" s="1"/>
  <c r="Q10" s="1"/>
  <c r="Q15" s="1"/>
  <c r="Q17" s="1"/>
  <c r="O20"/>
  <c r="Q32"/>
  <c r="Q34" s="1"/>
  <c r="Q45" s="1"/>
  <c r="Q32" i="3"/>
  <c r="O30" i="8" l="1"/>
  <c r="Q31" i="3"/>
  <c r="F12" i="1" s="1"/>
  <c r="Q46" i="8"/>
  <c r="Q47" s="1"/>
  <c r="Q34" i="3" l="1"/>
  <c r="Q45" s="1"/>
  <c r="Q46" s="1"/>
  <c r="Q47" s="1"/>
  <c r="Q52" s="1"/>
  <c r="A20" i="1"/>
  <c r="D20"/>
  <c r="Q52" i="8"/>
  <c r="Q56"/>
  <c r="Q54"/>
  <c r="Q58"/>
  <c r="Q55"/>
  <c r="Q53"/>
  <c r="Q51"/>
  <c r="Q53" i="3" l="1"/>
  <c r="Q51"/>
  <c r="F6" i="1"/>
  <c r="Q57" i="8"/>
  <c r="Q59" s="1"/>
  <c r="Q60" s="1"/>
  <c r="Q61" s="1"/>
  <c r="Q63" s="1"/>
  <c r="Q54" i="3" l="1"/>
  <c r="Q66" i="8"/>
  <c r="B66"/>
  <c r="Q55" i="3" l="1"/>
  <c r="Q56" s="1"/>
  <c r="Q57" s="1"/>
  <c r="Q58" s="1"/>
  <c r="Q60" s="1"/>
  <c r="Q63" l="1"/>
  <c r="D19" i="1" s="1"/>
  <c r="B63" i="3"/>
  <c r="A19" i="1" s="1"/>
</calcChain>
</file>

<file path=xl/sharedStrings.xml><?xml version="1.0" encoding="utf-8"?>
<sst xmlns="http://schemas.openxmlformats.org/spreadsheetml/2006/main" count="463" uniqueCount="223">
  <si>
    <t>PS Aarampura</t>
  </si>
  <si>
    <t>SI LOAN + INT</t>
  </si>
  <si>
    <t>Basic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</si>
  <si>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</si>
  <si>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</si>
  <si>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</si>
  <si>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</si>
  <si>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</si>
  <si>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</si>
  <si>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</si>
  <si>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</si>
  <si>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</si>
  <si>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</si>
  <si>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</si>
  <si>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</si>
  <si>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</si>
  <si>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</si>
  <si>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</si>
  <si>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</si>
  <si>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</si>
  <si>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</si>
  <si>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</si>
  <si>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</si>
  <si>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</si>
  <si>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</si>
  <si>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</si>
  <si>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</si>
  <si>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</si>
  <si>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</si>
  <si>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</si>
  <si>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</si>
  <si>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</si>
  <si>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</si>
  <si>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</si>
  <si>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</si>
  <si>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</si>
  <si>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</si>
  <si>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</si>
  <si>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</si>
  <si>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</si>
  <si>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</si>
  <si>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</si>
  <si>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</si>
  <si>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</si>
  <si>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</si>
  <si>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</si>
  <si>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</si>
  <si>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</si>
  <si>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</si>
  <si>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</si>
  <si>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</si>
  <si>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</si>
  <si>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</si>
  <si>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</si>
  <si>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</si>
  <si>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</si>
  <si>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</si>
  <si>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</si>
  <si>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</si>
  <si>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</si>
  <si>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</si>
  <si>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</si>
  <si>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</si>
  <si>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</si>
  <si>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</si>
  <si>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</si>
  <si>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</si>
  <si>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</si>
  <si>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</si>
  <si>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</si>
  <si>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</si>
  <si>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</si>
  <si>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</si>
  <si>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</si>
  <si>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</si>
  <si>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</si>
  <si>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</si>
  <si>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</si>
  <si>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</si>
  <si>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</si>
  <si>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</si>
  <si>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</si>
  <si>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</si>
  <si>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</si>
  <si>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</si>
  <si>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</si>
  <si>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</si>
  <si>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</si>
  <si>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 xml:space="preserve">Other 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</si>
  <si>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</si>
  <si>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</si>
  <si>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</si>
  <si>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</si>
  <si>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</si>
  <si>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</si>
  <si>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</si>
  <si>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</si>
  <si>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</si>
  <si>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</si>
  <si>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</si>
  <si>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</si>
  <si>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</si>
  <si>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</si>
  <si>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</si>
  <si>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</si>
  <si>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</si>
  <si>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</si>
  <si>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</si>
  <si>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</si>
  <si>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</si>
  <si>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</si>
  <si>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</si>
  <si>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</si>
  <si>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</si>
  <si>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</si>
  <si>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</si>
  <si>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</si>
  <si>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</si>
  <si>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</si>
  <si>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</si>
  <si>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</si>
  <si>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</si>
  <si>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</si>
  <si>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</si>
  <si>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</si>
  <si>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</si>
  <si>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</si>
  <si>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</si>
  <si>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</si>
  <si>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</si>
  <si>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</si>
  <si>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</si>
  <si>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</si>
  <si>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</si>
  <si>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</si>
  <si>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</si>
  <si>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</si>
  <si>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</si>
  <si>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</si>
  <si>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</si>
  <si>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</si>
  <si>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</si>
  <si>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</si>
  <si>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</si>
  <si>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</si>
  <si>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</si>
  <si>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</si>
  <si>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</si>
  <si>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</si>
  <si>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</si>
  <si>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</si>
  <si>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</si>
  <si>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</si>
  <si>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</si>
  <si>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</si>
  <si>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</si>
  <si>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</si>
  <si>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GOVT SR. SEC SCHOOL DILOD HATHI, ATRU BARAN</t>
  </si>
  <si>
    <t>PARMANAND MEGHWAL</t>
  </si>
  <si>
    <t>NAME :</t>
  </si>
  <si>
    <t>SR TEACHER</t>
  </si>
  <si>
    <t>ASQPM6311G</t>
  </si>
  <si>
    <t>AAAAAAAA</t>
  </si>
  <si>
    <t>2225617763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</si>
  <si>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</si>
  <si>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</si>
  <si>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</si>
  <si>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</si>
  <si>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</si>
  <si>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t>INCOME TAX CALCULATION (GA-55) 2021-22</t>
  </si>
  <si>
    <t>DA Arrear</t>
  </si>
  <si>
    <t>vk; %  o"kZ&amp;2021&amp;22 esa izkIr dqy osru ¼ dj ;ksX; lqfo/kkvksa ds eqY; lfgr ½</t>
  </si>
  <si>
    <t>flrEcj 2021
rd  :i;s</t>
  </si>
  <si>
    <t>fnlEcj 2021
rd  :i;s</t>
  </si>
  <si>
    <t>tuojh 2022
rd :i;s</t>
  </si>
  <si>
    <t>Qjojh 2022
rd  :i;s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</si>
  <si>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</si>
  <si>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</si>
  <si>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</si>
  <si>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</si>
  <si>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</si>
  <si>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</si>
  <si>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</si>
  <si>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</si>
  <si>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vk;dj x.kuk izi= o"kZ 2021&amp;2022¼dj fu/kkZj.k o"kZ 2022&amp;2023½</t>
  </si>
  <si>
    <t xml:space="preserve">HRA Arrear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</si>
  <si>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</si>
  <si>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</si>
  <si>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</si>
  <si>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</si>
  <si>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t>USE KRUTIDEV &amp;             DEVLYS 10 FONT</t>
  </si>
  <si>
    <t>RAJTEACHERS.NET</t>
  </si>
  <si>
    <t>Yes</t>
  </si>
  <si>
    <t>GPF 2004</t>
  </si>
  <si>
    <t>RPMF/RGHS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</si>
  <si>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</si>
  <si>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</si>
  <si>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</si>
  <si>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</si>
  <si>
    <t>H.D.A</t>
  </si>
  <si>
    <t>Mess Allowance</t>
  </si>
  <si>
    <t>FTA</t>
  </si>
  <si>
    <t>RPBF</t>
  </si>
  <si>
    <t xml:space="preserve">Other Allowance </t>
  </si>
  <si>
    <t>Other Deduction</t>
  </si>
  <si>
    <t>RSRTC</t>
  </si>
  <si>
    <r>
      <rPr>
        <b/>
        <sz val="14"/>
        <color theme="1"/>
        <rFont val="DevLys 010"/>
      </rPr>
      <t>;fn vki 01-01-2004 dks ;k mlds i'pkr fu;qDr dkfeZd gSa rks</t>
    </r>
    <r>
      <rPr>
        <b/>
        <sz val="14"/>
        <color theme="1"/>
        <rFont val="Kruti Dev 010"/>
      </rPr>
      <t xml:space="preserve">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DevLys 010"/>
      </rPr>
      <t xml:space="preserve">esa ls </t>
    </r>
    <r>
      <rPr>
        <b/>
        <sz val="14"/>
        <color theme="1"/>
        <rFont val="Calibri"/>
        <family val="2"/>
        <scheme val="minor"/>
      </rPr>
      <t>"Yes"</t>
    </r>
    <r>
      <rPr>
        <b/>
        <sz val="14"/>
        <color theme="1"/>
        <rFont val="DevLys 010"/>
      </rPr>
      <t xml:space="preserve"> 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DevLys 010"/>
      </rPr>
      <t xml:space="preserve"> pqusaA </t>
    </r>
  </si>
  <si>
    <r>
      <rPr>
        <b/>
        <sz val="13"/>
        <color theme="1"/>
        <rFont val="DevLys 010"/>
      </rPr>
      <t>D;k vkius lefiZr osru fy;k gS</t>
    </r>
    <r>
      <rPr>
        <b/>
        <sz val="13"/>
        <color theme="1"/>
        <rFont val="Kruti Dev 010"/>
      </rPr>
      <t xml:space="preserve"> \</t>
    </r>
  </si>
  <si>
    <r>
      <rPr>
        <b/>
        <sz val="13"/>
        <color theme="1"/>
        <rFont val="DevLys 010"/>
      </rPr>
      <t xml:space="preserve">D;k vki ofj"B ukxfjd Js.kh </t>
    </r>
    <r>
      <rPr>
        <b/>
        <sz val="13"/>
        <color theme="1"/>
        <rFont val="Kruti Dev 010"/>
      </rPr>
      <t>¼</t>
    </r>
    <r>
      <rPr>
        <b/>
        <sz val="11"/>
        <color theme="1"/>
        <rFont val="Cambria"/>
        <family val="1"/>
        <scheme val="major"/>
      </rPr>
      <t>60-80</t>
    </r>
    <r>
      <rPr>
        <b/>
        <sz val="13"/>
        <color theme="1"/>
        <rFont val="Cambria"/>
        <family val="1"/>
        <scheme val="major"/>
      </rPr>
      <t xml:space="preserve"> </t>
    </r>
    <r>
      <rPr>
        <b/>
        <sz val="13"/>
        <color theme="1"/>
        <rFont val="DevLys 010"/>
      </rPr>
      <t>vk;qox</t>
    </r>
    <r>
      <rPr>
        <b/>
        <sz val="13"/>
        <color theme="1"/>
        <rFont val="Kruti Dev 010"/>
      </rPr>
      <t xml:space="preserve">Z½ </t>
    </r>
    <r>
      <rPr>
        <b/>
        <sz val="13"/>
        <color theme="1"/>
        <rFont val="DevLys 010"/>
      </rPr>
      <t>esa vkrs gS \</t>
    </r>
  </si>
  <si>
    <t xml:space="preserve">2- euksjatu Hkrk /kkjk 16 ¼ii½ ds vUrxZr </t>
  </si>
  <si>
    <t xml:space="preserve">3- O;o;k; dj /kkjk 16 ¼iii½ ds vUrxrZ 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</si>
  <si>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</si>
  <si>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r>
      <t>14- yksd Hkfo"; fuf/k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(PPF)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</si>
  <si>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DevLys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</si>
  <si>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</si>
  <si>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</t>
    </r>
    <r>
      <rPr>
        <sz val="13"/>
        <rFont val="DevLys 010"/>
      </rPr>
      <t xml:space="preserve"> -uohu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</si>
  <si>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>80D</t>
    </r>
    <r>
      <rPr>
        <sz val="13"/>
        <rFont val="DevLys 010"/>
      </rPr>
      <t xml:space="preserve"> - 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</si>
  <si>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 xml:space="preserve">80DD </t>
    </r>
    <r>
      <rPr>
        <sz val="13"/>
        <rFont val="DevLys 010"/>
      </rPr>
      <t>-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</si>
  <si>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</t>
    </r>
    <r>
      <rPr>
        <sz val="13"/>
        <rFont val="DevLys 010"/>
      </rPr>
      <t>- 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</si>
  <si>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DevLys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</si>
  <si>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DevLys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</si>
  <si>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DevLys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</si>
  <si>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</t>
    </r>
    <r>
      <rPr>
        <sz val="13"/>
        <rFont val="DevLys 010"/>
      </rPr>
      <t>- vuqeksfnr oSKkfud]lkekftd]xzkeh.k fodkl vkfn gsrq fn;k x;k nku</t>
    </r>
  </si>
</sst>
</file>

<file path=xl/styles.xml><?xml version="1.0" encoding="utf-8"?>
<styleSheet xmlns="http://schemas.openxmlformats.org/spreadsheetml/2006/main">
  <fonts count="8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sz val="10"/>
      <color theme="1"/>
      <name val="Kruti Dev 010"/>
    </font>
    <font>
      <b/>
      <sz val="14"/>
      <color theme="1"/>
      <name val="Kruti Dev 010"/>
    </font>
    <font>
      <b/>
      <sz val="13"/>
      <color theme="1"/>
      <name val="Kruti Dev 010"/>
    </font>
    <font>
      <sz val="19"/>
      <color theme="1"/>
      <name val="Kruti Dev 010"/>
    </font>
    <font>
      <sz val="16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18"/>
      <color theme="0"/>
      <name val="Times New Roman"/>
      <family val="1"/>
    </font>
    <font>
      <b/>
      <sz val="11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14"/>
      <color theme="1"/>
      <name val="DevLys 010"/>
    </font>
    <font>
      <b/>
      <sz val="13"/>
      <color theme="1"/>
      <name val="DevLys 010"/>
    </font>
    <font>
      <sz val="13"/>
      <name val="DevLys 010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</cellStyleXfs>
  <cellXfs count="290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0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0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44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1" fillId="33" borderId="17" xfId="0" applyNumberFormat="1" applyFont="1" applyFill="1" applyBorder="1" applyAlignment="1">
      <alignment horizontal="center" vertical="center"/>
    </xf>
    <xf numFmtId="1" fontId="62" fillId="32" borderId="0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/>
    </xf>
    <xf numFmtId="1" fontId="62" fillId="31" borderId="0" xfId="0" applyNumberFormat="1" applyFont="1" applyFill="1" applyBorder="1" applyAlignment="1">
      <alignment horizontal="center" vertical="center"/>
    </xf>
    <xf numFmtId="2" fontId="62" fillId="31" borderId="0" xfId="0" applyNumberFormat="1" applyFont="1" applyFill="1" applyBorder="1" applyAlignment="1">
      <alignment horizontal="center" vertical="center"/>
    </xf>
    <xf numFmtId="2" fontId="32" fillId="31" borderId="0" xfId="0" applyNumberFormat="1" applyFont="1" applyFill="1" applyBorder="1" applyAlignment="1" applyProtection="1">
      <alignment horizontal="center"/>
      <protection locked="0"/>
    </xf>
    <xf numFmtId="2" fontId="32" fillId="31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 vertical="center"/>
      <protection locked="0"/>
    </xf>
    <xf numFmtId="2" fontId="32" fillId="35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/>
      <protection locked="0"/>
    </xf>
    <xf numFmtId="2" fontId="64" fillId="36" borderId="17" xfId="0" applyNumberFormat="1" applyFont="1" applyFill="1" applyBorder="1" applyAlignment="1">
      <alignment horizontal="center"/>
    </xf>
    <xf numFmtId="0" fontId="2" fillId="0" borderId="10" xfId="37" applyFont="1" applyBorder="1" applyAlignment="1">
      <alignment horizontal="center" vertical="center" wrapText="1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vertical="top"/>
    </xf>
    <xf numFmtId="0" fontId="9" fillId="38" borderId="0" xfId="0" applyNumberFormat="1" applyFont="1" applyFill="1" applyBorder="1" applyAlignment="1" applyProtection="1">
      <alignment horizontal="right" vertical="top"/>
    </xf>
    <xf numFmtId="0" fontId="29" fillId="38" borderId="0" xfId="0" applyNumberFormat="1" applyFont="1" applyFill="1" applyBorder="1" applyAlignment="1">
      <alignment vertical="top"/>
    </xf>
    <xf numFmtId="0" fontId="9" fillId="38" borderId="11" xfId="0" applyNumberFormat="1" applyFont="1" applyFill="1" applyBorder="1" applyAlignment="1" applyProtection="1">
      <alignment vertical="top"/>
      <protection locked="0"/>
    </xf>
    <xf numFmtId="0" fontId="9" fillId="38" borderId="11" xfId="0" applyNumberFormat="1" applyFont="1" applyFill="1" applyBorder="1" applyAlignment="1" applyProtection="1">
      <alignment vertical="top"/>
    </xf>
    <xf numFmtId="0" fontId="9" fillId="38" borderId="43" xfId="0" applyNumberFormat="1" applyFont="1" applyFill="1" applyBorder="1" applyAlignment="1">
      <alignment horizontal="center" vertical="top"/>
    </xf>
    <xf numFmtId="0" fontId="9" fillId="38" borderId="43" xfId="0" applyNumberFormat="1" applyFont="1" applyFill="1" applyBorder="1" applyAlignment="1">
      <alignment horizontal="right" vertical="top"/>
    </xf>
    <xf numFmtId="0" fontId="44" fillId="0" borderId="22" xfId="0" applyNumberFormat="1" applyFont="1" applyFill="1" applyBorder="1" applyAlignment="1">
      <alignment horizontal="center" vertical="center" wrapText="1"/>
    </xf>
    <xf numFmtId="0" fontId="44" fillId="0" borderId="44" xfId="0" applyNumberFormat="1" applyFont="1" applyFill="1" applyBorder="1" applyAlignment="1">
      <alignment horizontal="center" vertical="center" wrapText="1"/>
    </xf>
    <xf numFmtId="17" fontId="42" fillId="0" borderId="22" xfId="0" applyNumberFormat="1" applyFont="1" applyBorder="1" applyAlignment="1">
      <alignment horizontal="center" vertical="center"/>
    </xf>
    <xf numFmtId="0" fontId="34" fillId="0" borderId="21" xfId="0" applyNumberFormat="1" applyFont="1" applyBorder="1" applyAlignment="1" applyProtection="1">
      <alignment horizontal="center" vertical="center"/>
      <protection locked="0" hidden="1"/>
    </xf>
    <xf numFmtId="17" fontId="34" fillId="0" borderId="22" xfId="0" applyNumberFormat="1" applyFont="1" applyBorder="1" applyAlignment="1" applyProtection="1">
      <alignment horizontal="center" vertical="center"/>
      <protection locked="0"/>
    </xf>
    <xf numFmtId="17" fontId="34" fillId="0" borderId="22" xfId="0" applyNumberFormat="1" applyFont="1" applyFill="1" applyBorder="1" applyAlignment="1" applyProtection="1">
      <alignment horizontal="center" vertical="center"/>
    </xf>
    <xf numFmtId="17" fontId="34" fillId="0" borderId="22" xfId="0" applyNumberFormat="1" applyFont="1" applyFill="1" applyBorder="1" applyAlignment="1" applyProtection="1">
      <alignment horizontal="center" vertical="center"/>
      <protection locked="0"/>
    </xf>
    <xf numFmtId="0" fontId="40" fillId="0" borderId="27" xfId="0" applyNumberFormat="1" applyFont="1" applyBorder="1" applyAlignment="1">
      <alignment horizontal="center" vertical="center" textRotation="90"/>
    </xf>
    <xf numFmtId="0" fontId="51" fillId="0" borderId="28" xfId="0" applyNumberFormat="1" applyFont="1" applyBorder="1" applyAlignment="1" applyProtection="1">
      <alignment horizontal="center" vertical="center" textRotation="90"/>
      <protection hidden="1"/>
    </xf>
    <xf numFmtId="2" fontId="51" fillId="0" borderId="28" xfId="0" applyNumberFormat="1" applyFont="1" applyBorder="1" applyAlignment="1" applyProtection="1">
      <alignment horizontal="center" vertical="center" textRotation="90"/>
      <protection hidden="1"/>
    </xf>
    <xf numFmtId="0" fontId="40" fillId="0" borderId="29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68" fillId="35" borderId="0" xfId="0" applyNumberFormat="1" applyFont="1" applyFill="1" applyBorder="1" applyAlignment="1">
      <alignment vertical="top"/>
    </xf>
    <xf numFmtId="0" fontId="72" fillId="35" borderId="0" xfId="0" applyNumberFormat="1" applyFont="1" applyFill="1" applyBorder="1" applyAlignment="1">
      <alignment horizontal="left" vertical="top"/>
    </xf>
    <xf numFmtId="0" fontId="70" fillId="35" borderId="0" xfId="0" applyNumberFormat="1" applyFont="1" applyFill="1" applyBorder="1" applyAlignment="1">
      <alignment vertical="center"/>
    </xf>
    <xf numFmtId="0" fontId="73" fillId="35" borderId="10" xfId="0" applyNumberFormat="1" applyFont="1" applyFill="1" applyBorder="1" applyAlignment="1">
      <alignment horizontal="center" vertical="top"/>
    </xf>
    <xf numFmtId="9" fontId="73" fillId="35" borderId="10" xfId="0" applyNumberFormat="1" applyFont="1" applyFill="1" applyBorder="1" applyAlignment="1" applyProtection="1">
      <alignment horizontal="center" vertical="center"/>
      <protection locked="0"/>
    </xf>
    <xf numFmtId="0" fontId="34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2" fontId="36" fillId="0" borderId="10" xfId="37" applyNumberFormat="1" applyFont="1" applyBorder="1" applyAlignment="1" applyProtection="1">
      <alignment horizontal="center" vertical="center"/>
      <protection locked="0"/>
    </xf>
    <xf numFmtId="0" fontId="76" fillId="37" borderId="0" xfId="0" applyNumberFormat="1" applyFont="1" applyFill="1" applyBorder="1" applyAlignment="1">
      <alignment horizontal="center" vertical="top" wrapText="1"/>
    </xf>
    <xf numFmtId="0" fontId="76" fillId="37" borderId="45" xfId="0" applyNumberFormat="1" applyFont="1" applyFill="1" applyBorder="1" applyAlignment="1">
      <alignment horizontal="center" vertical="top" wrapText="1"/>
    </xf>
    <xf numFmtId="0" fontId="57" fillId="37" borderId="45" xfId="0" applyNumberFormat="1" applyFont="1" applyFill="1" applyBorder="1" applyAlignment="1">
      <alignment horizontal="center" vertical="top"/>
    </xf>
    <xf numFmtId="0" fontId="53" fillId="0" borderId="0" xfId="0" applyNumberFormat="1" applyFont="1" applyFill="1" applyBorder="1" applyAlignment="1">
      <alignment horizontal="center" vertical="top"/>
    </xf>
    <xf numFmtId="0" fontId="73" fillId="35" borderId="10" xfId="0" applyNumberFormat="1" applyFont="1" applyFill="1" applyBorder="1" applyAlignment="1" applyProtection="1">
      <alignment horizontal="center" vertical="center"/>
      <protection locked="0"/>
    </xf>
    <xf numFmtId="0" fontId="70" fillId="35" borderId="0" xfId="0" applyNumberFormat="1" applyFont="1" applyFill="1" applyBorder="1" applyAlignment="1">
      <alignment vertical="center"/>
    </xf>
    <xf numFmtId="0" fontId="9" fillId="38" borderId="0" xfId="0" applyNumberFormat="1" applyFont="1" applyFill="1" applyBorder="1" applyAlignment="1" applyProtection="1">
      <alignment horizontal="left" vertical="top"/>
      <protection locked="0"/>
    </xf>
    <xf numFmtId="0" fontId="9" fillId="38" borderId="11" xfId="0" applyNumberFormat="1" applyFont="1" applyFill="1" applyBorder="1" applyAlignment="1" applyProtection="1">
      <alignment horizontal="left" vertical="top"/>
    </xf>
    <xf numFmtId="0" fontId="9" fillId="38" borderId="11" xfId="0" applyNumberFormat="1" applyFont="1" applyFill="1" applyBorder="1" applyAlignment="1" applyProtection="1">
      <alignment horizontal="left" vertical="top"/>
      <protection locked="0"/>
    </xf>
    <xf numFmtId="0" fontId="9" fillId="38" borderId="38" xfId="0" applyNumberFormat="1" applyFont="1" applyFill="1" applyBorder="1" applyAlignment="1" applyProtection="1">
      <alignment horizontal="left" vertical="top"/>
      <protection locked="0"/>
    </xf>
    <xf numFmtId="0" fontId="77" fillId="37" borderId="12" xfId="0" applyNumberFormat="1" applyFont="1" applyFill="1" applyBorder="1" applyAlignment="1" applyProtection="1">
      <alignment horizontal="center" vertical="center"/>
      <protection hidden="1"/>
    </xf>
    <xf numFmtId="0" fontId="77" fillId="37" borderId="13" xfId="0" applyNumberFormat="1" applyFont="1" applyFill="1" applyBorder="1" applyAlignment="1" applyProtection="1">
      <alignment horizontal="center" vertical="center"/>
      <protection hidden="1"/>
    </xf>
    <xf numFmtId="0" fontId="77" fillId="37" borderId="14" xfId="0" applyNumberFormat="1" applyFont="1" applyFill="1" applyBorder="1" applyAlignment="1" applyProtection="1">
      <alignment horizontal="center" vertical="center"/>
      <protection hidden="1"/>
    </xf>
    <xf numFmtId="0" fontId="60" fillId="0" borderId="40" xfId="0" applyNumberFormat="1" applyFont="1" applyBorder="1" applyAlignment="1" applyProtection="1">
      <alignment horizontal="center" vertical="top"/>
      <protection locked="0"/>
    </xf>
    <xf numFmtId="0" fontId="60" fillId="0" borderId="41" xfId="0" applyNumberFormat="1" applyFont="1" applyBorder="1" applyAlignment="1" applyProtection="1">
      <alignment horizontal="center" vertical="top"/>
      <protection locked="0"/>
    </xf>
    <xf numFmtId="0" fontId="60" fillId="0" borderId="42" xfId="0" applyNumberFormat="1" applyFont="1" applyBorder="1" applyAlignment="1" applyProtection="1">
      <alignment horizontal="center" vertical="top"/>
      <protection locked="0"/>
    </xf>
    <xf numFmtId="0" fontId="43" fillId="0" borderId="43" xfId="0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0" fontId="43" fillId="0" borderId="37" xfId="0" applyNumberFormat="1" applyFont="1" applyFill="1" applyBorder="1" applyAlignment="1">
      <alignment horizontal="center" vertical="center"/>
    </xf>
    <xf numFmtId="49" fontId="9" fillId="38" borderId="0" xfId="0" quotePrefix="1" applyNumberFormat="1" applyFont="1" applyFill="1" applyBorder="1" applyAlignment="1" applyProtection="1">
      <alignment horizontal="left" vertical="top"/>
      <protection locked="0"/>
    </xf>
    <xf numFmtId="49" fontId="9" fillId="38" borderId="37" xfId="0" applyNumberFormat="1" applyFont="1" applyFill="1" applyBorder="1" applyAlignment="1" applyProtection="1">
      <alignment horizontal="left" vertical="top"/>
      <protection locked="0"/>
    </xf>
    <xf numFmtId="0" fontId="9" fillId="38" borderId="0" xfId="0" applyNumberFormat="1" applyFont="1" applyFill="1" applyBorder="1" applyAlignment="1">
      <alignment horizontal="left" vertical="top"/>
    </xf>
    <xf numFmtId="0" fontId="71" fillId="35" borderId="10" xfId="0" applyNumberFormat="1" applyFont="1" applyFill="1" applyBorder="1" applyAlignment="1" applyProtection="1">
      <alignment horizontal="center"/>
      <protection locked="0"/>
    </xf>
    <xf numFmtId="0" fontId="70" fillId="35" borderId="0" xfId="0" applyNumberFormat="1" applyFont="1" applyFill="1" applyBorder="1" applyAlignment="1">
      <alignment horizontal="left" vertical="center" indent="1"/>
    </xf>
    <xf numFmtId="0" fontId="70" fillId="35" borderId="35" xfId="0" applyNumberFormat="1" applyFont="1" applyFill="1" applyBorder="1" applyAlignment="1">
      <alignment horizontal="left" vertical="center" indent="1"/>
    </xf>
    <xf numFmtId="0" fontId="69" fillId="35" borderId="0" xfId="0" applyNumberFormat="1" applyFont="1" applyFill="1" applyBorder="1" applyAlignment="1">
      <alignment horizontal="left" vertical="top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horizontal="left" vertical="top" wrapText="1"/>
      <protection locked="0"/>
    </xf>
    <xf numFmtId="0" fontId="0" fillId="38" borderId="0" xfId="0" applyFill="1" applyBorder="1" applyAlignment="1">
      <alignment vertical="top" wrapText="1"/>
    </xf>
    <xf numFmtId="0" fontId="0" fillId="38" borderId="11" xfId="0" applyFill="1" applyBorder="1" applyAlignment="1">
      <alignment vertical="top" wrapText="1"/>
    </xf>
    <xf numFmtId="0" fontId="9" fillId="38" borderId="11" xfId="0" applyNumberFormat="1" applyFont="1" applyFill="1" applyBorder="1" applyAlignment="1" applyProtection="1">
      <alignment horizontal="right" vertical="top"/>
    </xf>
    <xf numFmtId="0" fontId="70" fillId="35" borderId="35" xfId="0" applyNumberFormat="1" applyFont="1" applyFill="1" applyBorder="1" applyAlignment="1">
      <alignment vertical="center"/>
    </xf>
    <xf numFmtId="2" fontId="66" fillId="30" borderId="0" xfId="44" applyNumberFormat="1" applyFont="1" applyFill="1" applyBorder="1" applyAlignment="1" applyProtection="1">
      <alignment horizontal="center" vertical="center" wrapText="1"/>
    </xf>
    <xf numFmtId="2" fontId="67" fillId="30" borderId="0" xfId="0" applyNumberFormat="1" applyFont="1" applyFill="1" applyBorder="1" applyAlignment="1">
      <alignment horizontal="center" vertical="center"/>
    </xf>
    <xf numFmtId="2" fontId="74" fillId="34" borderId="0" xfId="0" applyNumberFormat="1" applyFont="1" applyFill="1" applyBorder="1" applyAlignment="1">
      <alignment horizontal="center" vertical="center"/>
    </xf>
    <xf numFmtId="2" fontId="59" fillId="29" borderId="11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 wrapText="1"/>
    </xf>
    <xf numFmtId="1" fontId="63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4" fillId="32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2" fontId="33" fillId="0" borderId="10" xfId="37" applyNumberFormat="1" applyFont="1" applyBorder="1" applyAlignment="1">
      <alignment horizontal="center" vertic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46" fillId="0" borderId="0" xfId="37" applyFont="1" applyAlignment="1">
      <alignment horizontal="center" vertical="center"/>
    </xf>
    <xf numFmtId="0" fontId="75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1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2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Fill="1" applyBorder="1" applyAlignment="1">
      <alignment horizontal="center" vertical="center"/>
    </xf>
    <xf numFmtId="9" fontId="42" fillId="0" borderId="10" xfId="37" applyNumberFormat="1" applyFont="1" applyBorder="1" applyAlignment="1">
      <alignment horizontal="center" vertical="center"/>
    </xf>
    <xf numFmtId="0" fontId="42" fillId="0" borderId="10" xfId="37" applyFont="1" applyBorder="1" applyAlignment="1">
      <alignment horizontal="center" vertical="center"/>
    </xf>
    <xf numFmtId="0" fontId="42" fillId="0" borderId="12" xfId="37" applyFont="1" applyBorder="1" applyAlignment="1">
      <alignment horizontal="center" vertical="center"/>
    </xf>
    <xf numFmtId="0" fontId="42" fillId="0" borderId="13" xfId="37" applyFont="1" applyBorder="1" applyAlignment="1">
      <alignment horizontal="center" vertical="center"/>
    </xf>
    <xf numFmtId="0" fontId="42" fillId="0" borderId="14" xfId="37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54" fillId="0" borderId="0" xfId="37" applyFont="1" applyBorder="1" applyAlignment="1">
      <alignment horizontal="center" vertical="center"/>
    </xf>
    <xf numFmtId="0" fontId="34" fillId="0" borderId="10" xfId="0" applyNumberFormat="1" applyFont="1" applyFill="1" applyBorder="1" applyAlignment="1" applyProtection="1">
      <alignment horizontal="center" vertical="center"/>
      <protection locked="0"/>
    </xf>
    <xf numFmtId="0" fontId="40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0" fontId="81" fillId="35" borderId="36" xfId="0" applyNumberFormat="1" applyFont="1" applyFill="1" applyBorder="1" applyAlignment="1">
      <alignment horizontal="left" vertical="center" indent="1"/>
    </xf>
    <xf numFmtId="0" fontId="81" fillId="35" borderId="36" xfId="0" applyNumberFormat="1" applyFont="1" applyFill="1" applyBorder="1" applyAlignment="1">
      <alignment horizontal="center" vertical="center"/>
    </xf>
    <xf numFmtId="0" fontId="81" fillId="35" borderId="0" xfId="0" applyNumberFormat="1" applyFont="1" applyFill="1" applyBorder="1" applyAlignment="1">
      <alignment horizontal="center" vertical="center"/>
    </xf>
    <xf numFmtId="2" fontId="82" fillId="31" borderId="0" xfId="0" applyNumberFormat="1" applyFont="1" applyFill="1" applyBorder="1" applyAlignment="1">
      <alignment horizontal="left" indent="1"/>
    </xf>
    <xf numFmtId="2" fontId="82" fillId="35" borderId="0" xfId="0" applyNumberFormat="1" applyFont="1" applyFill="1" applyBorder="1" applyAlignment="1">
      <alignment horizontal="left" vertical="center" wrapText="1" indent="1"/>
    </xf>
    <xf numFmtId="2" fontId="82" fillId="35" borderId="0" xfId="0" applyNumberFormat="1" applyFont="1" applyFill="1" applyBorder="1" applyAlignment="1">
      <alignment horizontal="left" vertical="center" indent="1"/>
    </xf>
    <xf numFmtId="2" fontId="82" fillId="35" borderId="0" xfId="0" applyNumberFormat="1" applyFont="1" applyFill="1" applyBorder="1" applyAlignment="1">
      <alignment horizontal="left" indent="1"/>
    </xf>
    <xf numFmtId="2" fontId="82" fillId="31" borderId="0" xfId="0" applyNumberFormat="1" applyFont="1" applyFill="1" applyBorder="1" applyAlignment="1">
      <alignment horizontal="left" vertical="center" wrapText="1" inden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254000</xdr:rowOff>
    </xdr:from>
    <xdr:to>
      <xdr:col>24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7</xdr:col>
      <xdr:colOff>231589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309471" y="599872"/>
          <a:ext cx="1499196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86845</xdr:colOff>
      <xdr:row>3</xdr:row>
      <xdr:rowOff>32107</xdr:rowOff>
    </xdr:from>
    <xdr:to>
      <xdr:col>14</xdr:col>
      <xdr:colOff>524248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5861610" y="891225"/>
          <a:ext cx="922991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F952"/>
  <sheetViews>
    <sheetView showGridLines="0" tabSelected="1" zoomScale="80" zoomScaleNormal="80" workbookViewId="0">
      <selection activeCell="L11" sqref="L11"/>
    </sheetView>
  </sheetViews>
  <sheetFormatPr defaultColWidth="9.1796875" defaultRowHeight="12.5" zeroHeight="1"/>
  <cols>
    <col min="1" max="1" width="0.453125" style="55" customWidth="1" collapsed="1"/>
    <col min="2" max="2" width="5.1796875" style="6" hidden="1" customWidth="1" collapsed="1"/>
    <col min="3" max="3" width="14.54296875" style="6" customWidth="1" collapsed="1"/>
    <col min="4" max="4" width="8.453125" style="6" customWidth="1" collapsed="1"/>
    <col min="5" max="5" width="5" style="6" customWidth="1" collapsed="1"/>
    <col min="6" max="6" width="8.81640625" style="6" customWidth="1" collapsed="1"/>
    <col min="7" max="7" width="6.81640625" style="6" customWidth="1" collapsed="1"/>
    <col min="8" max="9" width="7.81640625" style="6" customWidth="1"/>
    <col min="10" max="10" width="5" style="6" customWidth="1" collapsed="1"/>
    <col min="11" max="13" width="6" style="6" customWidth="1" collapsed="1"/>
    <col min="14" max="14" width="7" style="6" customWidth="1" collapsed="1"/>
    <col min="15" max="15" width="8.7265625" style="6" customWidth="1" collapsed="1"/>
    <col min="16" max="16" width="5.81640625" style="6" customWidth="1" collapsed="1"/>
    <col min="17" max="17" width="5.7265625" style="6" customWidth="1" collapsed="1"/>
    <col min="18" max="18" width="8.81640625" style="6" customWidth="1" collapsed="1"/>
    <col min="19" max="19" width="4.81640625" style="6" customWidth="1" collapsed="1"/>
    <col min="20" max="20" width="8.26953125" style="6" customWidth="1" collapsed="1"/>
    <col min="21" max="21" width="6.453125" style="6" bestFit="1" customWidth="1" collapsed="1"/>
    <col min="22" max="23" width="6" style="6" customWidth="1" collapsed="1"/>
    <col min="24" max="24" width="7.7265625" style="6" customWidth="1" collapsed="1"/>
    <col min="25" max="26" width="6" style="6" customWidth="1" collapsed="1"/>
    <col min="27" max="27" width="10.54296875" style="6" customWidth="1" collapsed="1"/>
    <col min="28" max="28" width="11.1796875" style="6" customWidth="1" collapsed="1"/>
    <col min="29" max="29" width="15.453125" style="6" customWidth="1" collapsed="1"/>
    <col min="30" max="30" width="0.1796875" style="30" hidden="1" customWidth="1" collapsed="1"/>
    <col min="31" max="32" width="9.1796875" style="6" customWidth="1"/>
    <col min="33" max="34" width="9.1796875" style="6" customWidth="1" collapsed="1"/>
    <col min="35" max="16384" width="9.1796875" style="6" collapsed="1"/>
  </cols>
  <sheetData>
    <row r="1" spans="1:30" ht="22" customHeight="1">
      <c r="C1" s="130" t="s">
        <v>190</v>
      </c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56"/>
    </row>
    <row r="2" spans="1:30" ht="23.25" customHeight="1">
      <c r="C2" s="130"/>
      <c r="D2" s="155" t="s">
        <v>206</v>
      </c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22"/>
      <c r="Y2" s="122"/>
      <c r="Z2" s="134" t="s">
        <v>192</v>
      </c>
      <c r="AA2" s="134"/>
      <c r="AB2" s="122"/>
      <c r="AC2" s="125" t="s">
        <v>138</v>
      </c>
      <c r="AD2" s="56"/>
    </row>
    <row r="3" spans="1:30" ht="23.25" customHeight="1">
      <c r="C3" s="130"/>
      <c r="D3" s="135" t="s">
        <v>207</v>
      </c>
      <c r="E3" s="135"/>
      <c r="F3" s="135"/>
      <c r="G3" s="135"/>
      <c r="H3" s="135"/>
      <c r="I3" s="135"/>
      <c r="J3" s="135"/>
      <c r="K3" s="161"/>
      <c r="L3" s="134" t="s">
        <v>133</v>
      </c>
      <c r="M3" s="134"/>
      <c r="N3" s="282" t="s">
        <v>107</v>
      </c>
      <c r="O3" s="153"/>
      <c r="P3" s="153"/>
      <c r="Q3" s="153"/>
      <c r="R3" s="153"/>
      <c r="S3" s="153"/>
      <c r="T3" s="153"/>
      <c r="U3" s="153"/>
      <c r="V3" s="153"/>
      <c r="W3" s="154"/>
      <c r="X3" s="152">
        <v>7</v>
      </c>
      <c r="Y3" s="152"/>
      <c r="Z3" s="123"/>
      <c r="AA3" s="122"/>
      <c r="AB3" s="122"/>
      <c r="AC3" s="122"/>
      <c r="AD3" s="56"/>
    </row>
    <row r="4" spans="1:30" ht="23.25" customHeight="1">
      <c r="C4" s="130"/>
      <c r="D4" s="135" t="s">
        <v>208</v>
      </c>
      <c r="E4" s="135"/>
      <c r="F4" s="135"/>
      <c r="G4" s="135"/>
      <c r="H4" s="135"/>
      <c r="I4" s="135"/>
      <c r="J4" s="135"/>
      <c r="K4" s="135"/>
      <c r="L4" s="135"/>
      <c r="M4" s="135"/>
      <c r="N4" s="124"/>
      <c r="O4" s="124"/>
      <c r="P4" s="134" t="s">
        <v>133</v>
      </c>
      <c r="Q4" s="134"/>
      <c r="R4" s="283" t="s">
        <v>135</v>
      </c>
      <c r="S4" s="284"/>
      <c r="T4" s="284"/>
      <c r="U4" s="284"/>
      <c r="V4" s="284"/>
      <c r="W4" s="284"/>
      <c r="X4" s="124"/>
      <c r="Y4" s="124"/>
      <c r="Z4" s="134" t="s">
        <v>192</v>
      </c>
      <c r="AA4" s="134"/>
      <c r="AB4" s="122"/>
      <c r="AC4" s="126">
        <v>0.08</v>
      </c>
      <c r="AD4" s="56"/>
    </row>
    <row r="5" spans="1:30" ht="18.75" customHeight="1" thickBot="1"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56"/>
    </row>
    <row r="6" spans="1:30" ht="36" customHeight="1">
      <c r="C6" s="143" t="s">
        <v>157</v>
      </c>
      <c r="D6" s="144"/>
      <c r="E6" s="144"/>
      <c r="F6" s="144"/>
      <c r="G6" s="144"/>
      <c r="H6" s="144"/>
      <c r="I6" s="144"/>
      <c r="J6" s="144"/>
      <c r="K6" s="144"/>
      <c r="L6" s="144"/>
      <c r="M6" s="144"/>
      <c r="N6" s="144"/>
      <c r="O6" s="144"/>
      <c r="P6" s="144"/>
      <c r="Q6" s="144"/>
      <c r="R6" s="144"/>
      <c r="S6" s="144"/>
      <c r="T6" s="144"/>
      <c r="U6" s="144"/>
      <c r="V6" s="144"/>
      <c r="W6" s="144"/>
      <c r="X6" s="144"/>
      <c r="Y6" s="144"/>
      <c r="Z6" s="144"/>
      <c r="AA6" s="144"/>
      <c r="AB6" s="144"/>
      <c r="AC6" s="145"/>
      <c r="AD6" s="6"/>
    </row>
    <row r="7" spans="1:30" ht="32.15" customHeight="1">
      <c r="C7" s="146" t="s">
        <v>169</v>
      </c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8"/>
      <c r="AD7" s="6"/>
    </row>
    <row r="8" spans="1:30" s="29" customFormat="1" ht="20.5" customHeight="1">
      <c r="A8" s="59"/>
      <c r="C8" s="105" t="s">
        <v>159</v>
      </c>
      <c r="D8" s="157" t="s">
        <v>158</v>
      </c>
      <c r="E8" s="158"/>
      <c r="F8" s="158"/>
      <c r="G8" s="156"/>
      <c r="H8" s="156"/>
      <c r="I8" s="156"/>
      <c r="J8" s="156"/>
      <c r="K8" s="136" t="s">
        <v>160</v>
      </c>
      <c r="L8" s="136"/>
      <c r="M8" s="136"/>
      <c r="N8" s="136"/>
      <c r="O8" s="99" t="s">
        <v>26</v>
      </c>
      <c r="P8" s="136" t="s">
        <v>161</v>
      </c>
      <c r="Q8" s="136"/>
      <c r="R8" s="136"/>
      <c r="S8" s="100"/>
      <c r="T8" s="101" t="s">
        <v>132</v>
      </c>
      <c r="U8" s="136" t="s">
        <v>162</v>
      </c>
      <c r="V8" s="136"/>
      <c r="W8" s="136"/>
      <c r="X8" s="102"/>
      <c r="Y8" s="102"/>
      <c r="Z8" s="151" t="s">
        <v>164</v>
      </c>
      <c r="AA8" s="151"/>
      <c r="AB8" s="149" t="s">
        <v>163</v>
      </c>
      <c r="AC8" s="150"/>
    </row>
    <row r="9" spans="1:30" s="29" customFormat="1" ht="22.5" customHeight="1">
      <c r="A9" s="59"/>
      <c r="C9" s="106"/>
      <c r="D9" s="159"/>
      <c r="E9" s="159"/>
      <c r="F9" s="159"/>
      <c r="G9" s="160"/>
      <c r="H9" s="160"/>
      <c r="I9" s="160"/>
      <c r="J9" s="160"/>
      <c r="K9" s="103"/>
      <c r="L9" s="103"/>
      <c r="M9" s="140" t="s">
        <v>191</v>
      </c>
      <c r="N9" s="141"/>
      <c r="O9" s="141"/>
      <c r="P9" s="141"/>
      <c r="Q9" s="141"/>
      <c r="R9" s="141"/>
      <c r="S9" s="141"/>
      <c r="T9" s="142"/>
      <c r="U9" s="103"/>
      <c r="V9" s="103"/>
      <c r="W9" s="104"/>
      <c r="X9" s="104"/>
      <c r="Y9" s="104"/>
      <c r="Z9" s="137" t="s">
        <v>165</v>
      </c>
      <c r="AA9" s="137"/>
      <c r="AB9" s="138">
        <v>9784379510</v>
      </c>
      <c r="AC9" s="139"/>
    </row>
    <row r="10" spans="1:30" s="22" customFormat="1" ht="108.75" customHeight="1">
      <c r="A10" s="60"/>
      <c r="C10" s="107" t="s">
        <v>13</v>
      </c>
      <c r="D10" s="79" t="s">
        <v>2</v>
      </c>
      <c r="E10" s="80" t="s">
        <v>22</v>
      </c>
      <c r="F10" s="79" t="s">
        <v>23</v>
      </c>
      <c r="G10" s="79" t="s">
        <v>136</v>
      </c>
      <c r="H10" s="79" t="s">
        <v>199</v>
      </c>
      <c r="I10" s="79" t="s">
        <v>200</v>
      </c>
      <c r="J10" s="80" t="s">
        <v>91</v>
      </c>
      <c r="K10" s="80" t="s">
        <v>130</v>
      </c>
      <c r="L10" s="80" t="s">
        <v>201</v>
      </c>
      <c r="M10" s="80" t="s">
        <v>203</v>
      </c>
      <c r="N10" s="81" t="s">
        <v>90</v>
      </c>
      <c r="O10" s="79" t="str">
        <f>IF(Z2="No","GPF","Emp. C.Pen.F.")</f>
        <v>Emp. C.Pen.F.</v>
      </c>
      <c r="P10" s="82" t="str">
        <f>IF(Z2="No","GPF LOAN","")</f>
        <v/>
      </c>
      <c r="Q10" s="79" t="s">
        <v>14</v>
      </c>
      <c r="R10" s="79" t="s">
        <v>1</v>
      </c>
      <c r="S10" s="79" t="s">
        <v>194</v>
      </c>
      <c r="T10" s="79" t="s">
        <v>5</v>
      </c>
      <c r="U10" s="79" t="s">
        <v>129</v>
      </c>
      <c r="V10" s="82" t="s">
        <v>205</v>
      </c>
      <c r="W10" s="82" t="s">
        <v>204</v>
      </c>
      <c r="X10" s="82" t="s">
        <v>87</v>
      </c>
      <c r="Y10" s="80" t="s">
        <v>193</v>
      </c>
      <c r="Z10" s="80" t="s">
        <v>202</v>
      </c>
      <c r="AA10" s="79" t="s">
        <v>89</v>
      </c>
      <c r="AB10" s="81" t="s">
        <v>131</v>
      </c>
      <c r="AC10" s="108" t="s">
        <v>168</v>
      </c>
    </row>
    <row r="11" spans="1:30" s="23" customFormat="1" ht="19" customHeight="1">
      <c r="A11" s="61"/>
      <c r="B11" s="23">
        <v>3</v>
      </c>
      <c r="C11" s="109">
        <v>44256</v>
      </c>
      <c r="D11" s="127">
        <v>27200</v>
      </c>
      <c r="E11" s="48">
        <v>0</v>
      </c>
      <c r="F11" s="48">
        <f>ROUND(17%*D11,0)</f>
        <v>4624</v>
      </c>
      <c r="G11" s="48">
        <f>IF($AC$4=16%,ROUND(0.16*D11,0),ROUND(0.08*D11,0))</f>
        <v>2176</v>
      </c>
      <c r="H11" s="48">
        <f>ROUND((D11+F11)/12,0)</f>
        <v>2652</v>
      </c>
      <c r="I11" s="48">
        <v>2000</v>
      </c>
      <c r="J11" s="48">
        <v>0</v>
      </c>
      <c r="K11" s="48">
        <v>0</v>
      </c>
      <c r="L11" s="48">
        <v>500</v>
      </c>
      <c r="M11" s="48">
        <v>0</v>
      </c>
      <c r="N11" s="49">
        <f>SUM(D11:M11)</f>
        <v>39152</v>
      </c>
      <c r="O11" s="48">
        <f>IF($Z$2="Yes",ROUND((D11+F11)*0.1,0),IF($Z$2="No",IF(D11&lt;23101,1450,IF(D11&lt;28501,1625,IF(D11&lt;38501,2100,IF(D11&lt;51501,2850,IF(D11&lt;62001,3575,IF(D11&lt;72001,4200,IF(D11&lt;80001,4800,IF(D11&lt;116001,6150,IF(D11&lt;167001,8900,10500))))))))),0))</f>
        <v>3182</v>
      </c>
      <c r="P11" s="48">
        <v>0</v>
      </c>
      <c r="Q11" s="48">
        <v>3000</v>
      </c>
      <c r="R11" s="48">
        <v>0</v>
      </c>
      <c r="S11" s="48">
        <f t="shared" ref="S11" si="0">IF($Z$2="No",IF(D11&lt;18001,219,IF(D11&lt;33501,364,IF(D11&lt;54001,545,725))),0)</f>
        <v>0</v>
      </c>
      <c r="T11" s="48"/>
      <c r="U11" s="48">
        <v>0</v>
      </c>
      <c r="V11" s="48">
        <v>200</v>
      </c>
      <c r="W11" s="48"/>
      <c r="X11" s="48">
        <v>0</v>
      </c>
      <c r="Y11" s="48"/>
      <c r="Z11" s="279">
        <v>500</v>
      </c>
      <c r="AA11" s="50">
        <f>SUM(O11:Z11)</f>
        <v>6882</v>
      </c>
      <c r="AB11" s="51">
        <f t="shared" ref="AB11" si="1">N11-AA11</f>
        <v>32270</v>
      </c>
      <c r="AC11" s="110"/>
    </row>
    <row r="12" spans="1:30" s="23" customFormat="1" ht="19" customHeight="1">
      <c r="A12" s="61"/>
      <c r="B12" s="23">
        <v>4</v>
      </c>
      <c r="C12" s="109">
        <v>44287</v>
      </c>
      <c r="D12" s="48">
        <f t="shared" ref="D12:D14" si="2">D11</f>
        <v>27200</v>
      </c>
      <c r="E12" s="48">
        <f t="shared" ref="E12:E17" si="3">IF(E$11=0,0,E11)</f>
        <v>0</v>
      </c>
      <c r="F12" s="48">
        <f t="shared" ref="F12:F14" si="4">ROUND(17%*D12,0)</f>
        <v>4624</v>
      </c>
      <c r="G12" s="48">
        <f t="shared" ref="G12:G15" si="5">IF($AC$4=16%,ROUND(0.16*D12,0),ROUND(0.08*D12,0))</f>
        <v>2176</v>
      </c>
      <c r="H12" s="48">
        <f t="shared" ref="H12:H22" si="6">ROUND((D12+F12)/12,0)</f>
        <v>2652</v>
      </c>
      <c r="I12" s="48">
        <f>I11</f>
        <v>2000</v>
      </c>
      <c r="J12" s="48">
        <f t="shared" ref="J12:J22" si="7">IF(J$11=0,0,J11)</f>
        <v>0</v>
      </c>
      <c r="K12" s="48">
        <f t="shared" ref="K12:L22" si="8">IF(K$11=0,0,K11)</f>
        <v>0</v>
      </c>
      <c r="L12" s="48">
        <f t="shared" si="8"/>
        <v>500</v>
      </c>
      <c r="M12" s="48">
        <f t="shared" ref="M12:M22" si="9">IF(M$11=0,0,M11)</f>
        <v>0</v>
      </c>
      <c r="N12" s="49">
        <f t="shared" ref="N12:N31" si="10">SUM(D12:M12)</f>
        <v>39152</v>
      </c>
      <c r="O12" s="48">
        <f>IF($Z$2="Yes",ROUND((D12+F12)*0.1,0),IF($Z$2="No",IF(D12&lt;23101,1450,IF(D12&lt;28501,1625,IF(D12&lt;38501,2100,IF(D12&lt;51501,2850,IF(D12&lt;62001,3575,IF(D12&lt;72001,4200,IF(D12&lt;80001,4800,IF(D12&lt;116001,6150,IF(D12&lt;167001,8900,10500))))))))),0))</f>
        <v>3182</v>
      </c>
      <c r="P12" s="48">
        <f>P11</f>
        <v>0</v>
      </c>
      <c r="Q12" s="48">
        <f>Q11</f>
        <v>3000</v>
      </c>
      <c r="R12" s="48">
        <f>R11</f>
        <v>0</v>
      </c>
      <c r="S12" s="48">
        <f>IF($Z$2="No",IF(D12&lt;18001,242,IF(D12&lt;33501,402,IF(D12&lt;54001,602,800))),0)</f>
        <v>0</v>
      </c>
      <c r="T12" s="48">
        <f>T11</f>
        <v>0</v>
      </c>
      <c r="U12" s="52">
        <v>220</v>
      </c>
      <c r="V12" s="48">
        <f t="shared" ref="V12:Z22" si="11">V11</f>
        <v>200</v>
      </c>
      <c r="W12" s="48">
        <f t="shared" si="11"/>
        <v>0</v>
      </c>
      <c r="X12" s="48">
        <f>X11</f>
        <v>0</v>
      </c>
      <c r="Y12" s="48">
        <f t="shared" si="11"/>
        <v>0</v>
      </c>
      <c r="Z12" s="48"/>
      <c r="AA12" s="50">
        <f t="shared" ref="AA12:AA27" si="12">SUM(O12:Z12)</f>
        <v>6602</v>
      </c>
      <c r="AB12" s="51">
        <f t="shared" ref="AB12:AB27" si="13">N12-AA12</f>
        <v>32550</v>
      </c>
      <c r="AC12" s="110"/>
    </row>
    <row r="13" spans="1:30" s="23" customFormat="1" ht="19" customHeight="1">
      <c r="A13" s="61"/>
      <c r="B13" s="23">
        <v>5</v>
      </c>
      <c r="C13" s="109">
        <v>44317</v>
      </c>
      <c r="D13" s="48">
        <f t="shared" si="2"/>
        <v>27200</v>
      </c>
      <c r="E13" s="48">
        <f t="shared" si="3"/>
        <v>0</v>
      </c>
      <c r="F13" s="48">
        <f t="shared" si="4"/>
        <v>4624</v>
      </c>
      <c r="G13" s="48">
        <f t="shared" si="5"/>
        <v>2176</v>
      </c>
      <c r="H13" s="48">
        <f t="shared" si="6"/>
        <v>2652</v>
      </c>
      <c r="I13" s="48">
        <f t="shared" ref="I13:I22" si="14">I12</f>
        <v>2000</v>
      </c>
      <c r="J13" s="48">
        <f t="shared" si="7"/>
        <v>0</v>
      </c>
      <c r="K13" s="48">
        <f t="shared" ref="K13" si="15">IF(K$11=0,0,K12)</f>
        <v>0</v>
      </c>
      <c r="L13" s="48">
        <f>IF(L$11=0,0,L12)</f>
        <v>500</v>
      </c>
      <c r="M13" s="48">
        <f t="shared" si="9"/>
        <v>0</v>
      </c>
      <c r="N13" s="49">
        <f t="shared" si="10"/>
        <v>39152</v>
      </c>
      <c r="O13" s="48">
        <f>IF($Z$2="Yes",ROUND((D13+F13)*0.1,0),IF($Z$2="No",IF(D13&lt;23101,1450,IF(D13&lt;28501,1625,IF(D13&lt;38501,2100,IF(D13&lt;51501,2850,IF(D13&lt;62001,3575,IF(D13&lt;72001,4200,IF(D13&lt;80001,4800,IF(D13&lt;116001,6150,IF(D13&lt;167001,8900,10500))))))))),0))</f>
        <v>3182</v>
      </c>
      <c r="P13" s="48">
        <f t="shared" ref="P13:P22" si="16">P12</f>
        <v>0</v>
      </c>
      <c r="Q13" s="48">
        <f t="shared" ref="Q13:Q22" si="17">Q12</f>
        <v>3000</v>
      </c>
      <c r="R13" s="48">
        <f t="shared" ref="R13:R22" si="18">R12</f>
        <v>0</v>
      </c>
      <c r="S13" s="48">
        <f t="shared" ref="S13:S22" si="19">IF($Z$2="No",IF(D13&lt;18001,242,IF(D13&lt;33501,402,IF(D13&lt;54001,602,800))),0)</f>
        <v>0</v>
      </c>
      <c r="T13" s="48">
        <f t="shared" ref="T13:T22" si="20">T12</f>
        <v>0</v>
      </c>
      <c r="U13" s="48">
        <v>0</v>
      </c>
      <c r="V13" s="48">
        <f t="shared" si="11"/>
        <v>200</v>
      </c>
      <c r="W13" s="48">
        <f t="shared" si="11"/>
        <v>0</v>
      </c>
      <c r="X13" s="48">
        <f t="shared" si="11"/>
        <v>0</v>
      </c>
      <c r="Y13" s="48">
        <f t="shared" ref="Y13:Z13" si="21">Y12</f>
        <v>0</v>
      </c>
      <c r="Z13" s="48"/>
      <c r="AA13" s="50">
        <f t="shared" si="12"/>
        <v>6382</v>
      </c>
      <c r="AB13" s="51">
        <f t="shared" si="13"/>
        <v>32770</v>
      </c>
      <c r="AC13" s="110"/>
    </row>
    <row r="14" spans="1:30" s="23" customFormat="1" ht="19" customHeight="1">
      <c r="A14" s="61"/>
      <c r="B14" s="23">
        <v>6</v>
      </c>
      <c r="C14" s="109">
        <v>44348</v>
      </c>
      <c r="D14" s="48">
        <f t="shared" si="2"/>
        <v>27200</v>
      </c>
      <c r="E14" s="48">
        <f t="shared" si="3"/>
        <v>0</v>
      </c>
      <c r="F14" s="48">
        <f t="shared" si="4"/>
        <v>4624</v>
      </c>
      <c r="G14" s="48">
        <f t="shared" si="5"/>
        <v>2176</v>
      </c>
      <c r="H14" s="48">
        <f t="shared" si="6"/>
        <v>2652</v>
      </c>
      <c r="I14" s="48">
        <f t="shared" si="14"/>
        <v>2000</v>
      </c>
      <c r="J14" s="48">
        <f t="shared" si="7"/>
        <v>0</v>
      </c>
      <c r="K14" s="48">
        <f t="shared" si="8"/>
        <v>0</v>
      </c>
      <c r="L14" s="48">
        <f t="shared" si="8"/>
        <v>500</v>
      </c>
      <c r="M14" s="48">
        <f t="shared" si="9"/>
        <v>0</v>
      </c>
      <c r="N14" s="49">
        <f t="shared" si="10"/>
        <v>39152</v>
      </c>
      <c r="O14" s="48">
        <f>IF($Z$2="Yes",ROUND((D14+F14)*0.1,0),IF($Z$2="No",IF(D14&lt;23101,1450,IF(D14&lt;28501,1625,IF(D14&lt;38501,2100,IF(D14&lt;51501,2850,IF(D14&lt;62001,3575,IF(D14&lt;72001,4200,IF(D14&lt;80001,4800,IF(D14&lt;116001,6150,IF(D14&lt;167001,8900,10500))))))))),0))</f>
        <v>3182</v>
      </c>
      <c r="P14" s="48">
        <f t="shared" si="16"/>
        <v>0</v>
      </c>
      <c r="Q14" s="48">
        <f t="shared" si="17"/>
        <v>3000</v>
      </c>
      <c r="R14" s="48">
        <f t="shared" si="18"/>
        <v>0</v>
      </c>
      <c r="S14" s="48">
        <f t="shared" si="19"/>
        <v>0</v>
      </c>
      <c r="T14" s="48">
        <f t="shared" si="20"/>
        <v>0</v>
      </c>
      <c r="U14" s="48">
        <v>0</v>
      </c>
      <c r="V14" s="48">
        <f t="shared" si="11"/>
        <v>200</v>
      </c>
      <c r="W14" s="48">
        <f t="shared" si="11"/>
        <v>0</v>
      </c>
      <c r="X14" s="48">
        <f t="shared" si="11"/>
        <v>0</v>
      </c>
      <c r="Y14" s="48">
        <f t="shared" ref="Y14:Z14" si="22">Y13</f>
        <v>0</v>
      </c>
      <c r="Z14" s="48"/>
      <c r="AA14" s="50">
        <f t="shared" si="12"/>
        <v>6382</v>
      </c>
      <c r="AB14" s="51">
        <f t="shared" si="13"/>
        <v>32770</v>
      </c>
      <c r="AC14" s="110"/>
    </row>
    <row r="15" spans="1:30" s="23" customFormat="1" ht="19" customHeight="1">
      <c r="A15" s="61"/>
      <c r="B15" s="23">
        <v>7</v>
      </c>
      <c r="C15" s="109">
        <v>44378</v>
      </c>
      <c r="D15" s="48">
        <f>MROUND(ROUND(1.03*D14,0),100)</f>
        <v>28000</v>
      </c>
      <c r="E15" s="48">
        <f>IF(E$11=0,0,E14)</f>
        <v>0</v>
      </c>
      <c r="F15" s="48">
        <f>ROUND(28%*D15,0)</f>
        <v>7840</v>
      </c>
      <c r="G15" s="48">
        <f t="shared" si="5"/>
        <v>2240</v>
      </c>
      <c r="H15" s="48">
        <f t="shared" si="6"/>
        <v>2987</v>
      </c>
      <c r="I15" s="48">
        <f t="shared" si="14"/>
        <v>2000</v>
      </c>
      <c r="J15" s="48">
        <f>IF(J$11=0,0,J14)</f>
        <v>0</v>
      </c>
      <c r="K15" s="48">
        <f t="shared" ref="K15" si="23">IF(K$11=0,0,K14)</f>
        <v>0</v>
      </c>
      <c r="L15" s="48">
        <f>IF(L$11=0,0,L14)</f>
        <v>500</v>
      </c>
      <c r="M15" s="48">
        <f>IF(M$11=0,0,M14)</f>
        <v>0</v>
      </c>
      <c r="N15" s="49">
        <f t="shared" si="10"/>
        <v>43567</v>
      </c>
      <c r="O15" s="48">
        <f>IF($Z$2="Yes",ROUND((D15+F15)*0.1,0),IF($Z$2="No",IF(D15&lt;23101,1450,IF(D15&lt;28501,1625,IF(D15&lt;38501,2100,IF(D15&lt;51501,2850,IF(D15&lt;62001,3575,IF(D15&lt;72001,4200,IF(D15&lt;80001,4800,IF(D15&lt;116001,6150,IF(D15&lt;167001,8900,10500))))))))),0))</f>
        <v>3584</v>
      </c>
      <c r="P15" s="48">
        <f>P14</f>
        <v>0</v>
      </c>
      <c r="Q15" s="48">
        <f>Q14</f>
        <v>3000</v>
      </c>
      <c r="R15" s="48">
        <f>R14</f>
        <v>0</v>
      </c>
      <c r="S15" s="48">
        <f t="shared" si="19"/>
        <v>0</v>
      </c>
      <c r="T15" s="48">
        <f>T14</f>
        <v>0</v>
      </c>
      <c r="U15" s="48">
        <v>0</v>
      </c>
      <c r="V15" s="48">
        <f>V14</f>
        <v>200</v>
      </c>
      <c r="W15" s="48">
        <f>W14</f>
        <v>0</v>
      </c>
      <c r="X15" s="48">
        <f t="shared" ref="X15:Z22" si="24">X14</f>
        <v>0</v>
      </c>
      <c r="Y15" s="48">
        <f t="shared" si="24"/>
        <v>0</v>
      </c>
      <c r="Z15" s="48"/>
      <c r="AA15" s="50">
        <f t="shared" si="12"/>
        <v>6784</v>
      </c>
      <c r="AB15" s="51">
        <f t="shared" si="13"/>
        <v>36783</v>
      </c>
      <c r="AC15" s="110"/>
    </row>
    <row r="16" spans="1:30" s="23" customFormat="1" ht="19" customHeight="1">
      <c r="A16" s="61"/>
      <c r="B16" s="23">
        <v>8</v>
      </c>
      <c r="C16" s="109">
        <v>44409</v>
      </c>
      <c r="D16" s="48">
        <f t="shared" ref="D16:D22" si="25">D15</f>
        <v>28000</v>
      </c>
      <c r="E16" s="48">
        <f t="shared" si="3"/>
        <v>0</v>
      </c>
      <c r="F16" s="48">
        <f t="shared" ref="F16:F17" si="26">ROUND(28%*D16,0)</f>
        <v>7840</v>
      </c>
      <c r="G16" s="48">
        <f t="shared" ref="G16:G22" si="27">IF($AC$4=16%,ROUND(0.18*D16,0),ROUND(0.09*D16,0))</f>
        <v>2520</v>
      </c>
      <c r="H16" s="48">
        <f t="shared" si="6"/>
        <v>2987</v>
      </c>
      <c r="I16" s="48">
        <f t="shared" si="14"/>
        <v>2000</v>
      </c>
      <c r="J16" s="48">
        <f t="shared" si="7"/>
        <v>0</v>
      </c>
      <c r="K16" s="48">
        <f t="shared" si="8"/>
        <v>0</v>
      </c>
      <c r="L16" s="48">
        <f t="shared" si="8"/>
        <v>500</v>
      </c>
      <c r="M16" s="48">
        <f t="shared" si="9"/>
        <v>0</v>
      </c>
      <c r="N16" s="49">
        <f t="shared" si="10"/>
        <v>43847</v>
      </c>
      <c r="O16" s="48">
        <f>IF($Z$2="Yes",ROUND((D16+F16)*0.1,0),IF($Z$2="No",IF(D16&lt;23101,1450,IF(D16&lt;28501,1625,IF(D16&lt;38501,2100,IF(D16&lt;51501,2850,IF(D16&lt;62001,3575,IF(D16&lt;72001,4200,IF(D16&lt;80001,4800,IF(D16&lt;116001,6150,IF(D16&lt;167001,8900,10500))))))))),0))</f>
        <v>3584</v>
      </c>
      <c r="P16" s="48">
        <f t="shared" si="16"/>
        <v>0</v>
      </c>
      <c r="Q16" s="48">
        <f t="shared" si="17"/>
        <v>3000</v>
      </c>
      <c r="R16" s="48">
        <f t="shared" si="18"/>
        <v>0</v>
      </c>
      <c r="S16" s="48">
        <f t="shared" si="19"/>
        <v>0</v>
      </c>
      <c r="T16" s="48">
        <f t="shared" si="20"/>
        <v>0</v>
      </c>
      <c r="U16" s="48">
        <v>0</v>
      </c>
      <c r="V16" s="48">
        <f t="shared" si="11"/>
        <v>200</v>
      </c>
      <c r="W16" s="48">
        <f t="shared" si="11"/>
        <v>0</v>
      </c>
      <c r="X16" s="48">
        <f t="shared" si="24"/>
        <v>0</v>
      </c>
      <c r="Y16" s="48">
        <f t="shared" si="24"/>
        <v>0</v>
      </c>
      <c r="Z16" s="48"/>
      <c r="AA16" s="50">
        <f t="shared" si="12"/>
        <v>6784</v>
      </c>
      <c r="AB16" s="51">
        <f t="shared" si="13"/>
        <v>37063</v>
      </c>
      <c r="AC16" s="110"/>
    </row>
    <row r="17" spans="1:29" s="23" customFormat="1" ht="19" customHeight="1">
      <c r="A17" s="61"/>
      <c r="B17" s="23">
        <v>9</v>
      </c>
      <c r="C17" s="109">
        <v>44440</v>
      </c>
      <c r="D17" s="48">
        <f t="shared" si="25"/>
        <v>28000</v>
      </c>
      <c r="E17" s="48">
        <f t="shared" si="3"/>
        <v>0</v>
      </c>
      <c r="F17" s="48">
        <f t="shared" si="26"/>
        <v>7840</v>
      </c>
      <c r="G17" s="48">
        <f t="shared" si="27"/>
        <v>2520</v>
      </c>
      <c r="H17" s="48">
        <f t="shared" si="6"/>
        <v>2987</v>
      </c>
      <c r="I17" s="48">
        <f t="shared" si="14"/>
        <v>2000</v>
      </c>
      <c r="J17" s="48">
        <f t="shared" si="7"/>
        <v>0</v>
      </c>
      <c r="K17" s="48">
        <f t="shared" si="8"/>
        <v>0</v>
      </c>
      <c r="L17" s="48">
        <f t="shared" si="8"/>
        <v>500</v>
      </c>
      <c r="M17" s="48">
        <f t="shared" si="9"/>
        <v>0</v>
      </c>
      <c r="N17" s="49">
        <f t="shared" si="10"/>
        <v>43847</v>
      </c>
      <c r="O17" s="48">
        <f>IF($Z$2="Yes",ROUND((D17+F17)*0.1,0),IF($Z$2="No",IF(D17&lt;23101,1450,IF(D17&lt;28501,1625,IF(D17&lt;38501,2100,IF(D17&lt;51501,2850,IF(D17&lt;62001,3575,IF(D17&lt;72001,4200,IF(D17&lt;80001,4800,IF(D17&lt;116001,6150,IF(D17&lt;167001,8900,10500))))))))),0))</f>
        <v>3584</v>
      </c>
      <c r="P17" s="48">
        <f t="shared" si="16"/>
        <v>0</v>
      </c>
      <c r="Q17" s="48">
        <f t="shared" si="17"/>
        <v>3000</v>
      </c>
      <c r="R17" s="48">
        <f t="shared" si="18"/>
        <v>0</v>
      </c>
      <c r="S17" s="48">
        <f t="shared" si="19"/>
        <v>0</v>
      </c>
      <c r="T17" s="48">
        <f t="shared" si="20"/>
        <v>0</v>
      </c>
      <c r="U17" s="48">
        <v>0</v>
      </c>
      <c r="V17" s="48">
        <f t="shared" si="11"/>
        <v>200</v>
      </c>
      <c r="W17" s="48">
        <f t="shared" si="11"/>
        <v>0</v>
      </c>
      <c r="X17" s="48">
        <f t="shared" si="24"/>
        <v>0</v>
      </c>
      <c r="Y17" s="48">
        <f t="shared" si="24"/>
        <v>0</v>
      </c>
      <c r="Z17" s="48"/>
      <c r="AA17" s="50">
        <f t="shared" si="12"/>
        <v>6784</v>
      </c>
      <c r="AB17" s="51">
        <f t="shared" si="13"/>
        <v>37063</v>
      </c>
      <c r="AC17" s="110"/>
    </row>
    <row r="18" spans="1:29" s="23" customFormat="1" ht="19" customHeight="1">
      <c r="A18" s="61"/>
      <c r="B18" s="23">
        <v>10</v>
      </c>
      <c r="C18" s="109">
        <v>44470</v>
      </c>
      <c r="D18" s="48">
        <f t="shared" si="25"/>
        <v>28000</v>
      </c>
      <c r="E18" s="48">
        <f t="shared" ref="E18:E22" si="28">IF(E$11=0,0,E17)</f>
        <v>0</v>
      </c>
      <c r="F18" s="48">
        <f>ROUND(31%*D18,0)</f>
        <v>8680</v>
      </c>
      <c r="G18" s="48">
        <f t="shared" si="27"/>
        <v>2520</v>
      </c>
      <c r="H18" s="48">
        <f t="shared" si="6"/>
        <v>3057</v>
      </c>
      <c r="I18" s="48">
        <f t="shared" si="14"/>
        <v>2000</v>
      </c>
      <c r="J18" s="48">
        <f t="shared" si="7"/>
        <v>0</v>
      </c>
      <c r="K18" s="48">
        <f t="shared" si="8"/>
        <v>0</v>
      </c>
      <c r="L18" s="48">
        <f t="shared" si="8"/>
        <v>500</v>
      </c>
      <c r="M18" s="48">
        <f t="shared" si="9"/>
        <v>0</v>
      </c>
      <c r="N18" s="49">
        <f t="shared" si="10"/>
        <v>44757</v>
      </c>
      <c r="O18" s="48">
        <f>IF($Z$2="Yes",ROUND((D18+F18)*0.1,0),IF($Z$2="No",IF(D18&lt;23101,1450,IF(D18&lt;28501,1625,IF(D18&lt;38501,2100,IF(D18&lt;51501,2850,IF(D18&lt;62001,3575,IF(D18&lt;72001,4200,IF(D18&lt;80001,4800,IF(D18&lt;116001,6150,IF(D18&lt;167001,8900,10500))))))))),0))</f>
        <v>3668</v>
      </c>
      <c r="P18" s="48">
        <f t="shared" si="16"/>
        <v>0</v>
      </c>
      <c r="Q18" s="48">
        <f t="shared" si="17"/>
        <v>3000</v>
      </c>
      <c r="R18" s="48">
        <f t="shared" si="18"/>
        <v>0</v>
      </c>
      <c r="S18" s="48">
        <f t="shared" si="19"/>
        <v>0</v>
      </c>
      <c r="T18" s="48">
        <f t="shared" si="20"/>
        <v>0</v>
      </c>
      <c r="U18" s="48">
        <v>0</v>
      </c>
      <c r="V18" s="48">
        <f t="shared" si="11"/>
        <v>200</v>
      </c>
      <c r="W18" s="48">
        <f t="shared" si="11"/>
        <v>0</v>
      </c>
      <c r="X18" s="48">
        <f t="shared" si="24"/>
        <v>0</v>
      </c>
      <c r="Y18" s="48">
        <f t="shared" si="24"/>
        <v>0</v>
      </c>
      <c r="Z18" s="48"/>
      <c r="AA18" s="50">
        <f t="shared" si="12"/>
        <v>6868</v>
      </c>
      <c r="AB18" s="51">
        <f t="shared" si="13"/>
        <v>37889</v>
      </c>
      <c r="AC18" s="110"/>
    </row>
    <row r="19" spans="1:29" s="23" customFormat="1" ht="19" customHeight="1">
      <c r="A19" s="61"/>
      <c r="B19" s="23">
        <v>11</v>
      </c>
      <c r="C19" s="109">
        <v>44501</v>
      </c>
      <c r="D19" s="48">
        <f t="shared" si="25"/>
        <v>28000</v>
      </c>
      <c r="E19" s="48">
        <f t="shared" si="28"/>
        <v>0</v>
      </c>
      <c r="F19" s="48">
        <f t="shared" ref="F19:F22" si="29">ROUND(31%*D19,0)</f>
        <v>8680</v>
      </c>
      <c r="G19" s="48">
        <f t="shared" si="27"/>
        <v>2520</v>
      </c>
      <c r="H19" s="48">
        <f t="shared" si="6"/>
        <v>3057</v>
      </c>
      <c r="I19" s="48">
        <f t="shared" si="14"/>
        <v>2000</v>
      </c>
      <c r="J19" s="48">
        <f t="shared" si="7"/>
        <v>0</v>
      </c>
      <c r="K19" s="48">
        <f t="shared" si="8"/>
        <v>0</v>
      </c>
      <c r="L19" s="48">
        <f t="shared" si="8"/>
        <v>500</v>
      </c>
      <c r="M19" s="48">
        <f t="shared" si="9"/>
        <v>0</v>
      </c>
      <c r="N19" s="49">
        <f t="shared" si="10"/>
        <v>44757</v>
      </c>
      <c r="O19" s="48">
        <f>IF($Z$2="Yes",ROUND((D19+F19)*0.1,0),IF($Z$2="No",IF(D19&lt;23101,1450,IF(D19&lt;28501,1625,IF(D19&lt;38501,2100,IF(D19&lt;51501,2850,IF(D19&lt;62001,3575,IF(D19&lt;72001,4200,IF(D19&lt;80001,4800,IF(D19&lt;116001,6150,IF(D19&lt;167001,8900,10500))))))))),0))</f>
        <v>3668</v>
      </c>
      <c r="P19" s="48">
        <f t="shared" si="16"/>
        <v>0</v>
      </c>
      <c r="Q19" s="48">
        <f t="shared" si="17"/>
        <v>3000</v>
      </c>
      <c r="R19" s="48">
        <f t="shared" si="18"/>
        <v>0</v>
      </c>
      <c r="S19" s="48">
        <f t="shared" si="19"/>
        <v>0</v>
      </c>
      <c r="T19" s="48">
        <f t="shared" si="20"/>
        <v>0</v>
      </c>
      <c r="U19" s="48">
        <v>0</v>
      </c>
      <c r="V19" s="48">
        <f t="shared" si="11"/>
        <v>200</v>
      </c>
      <c r="W19" s="48">
        <f t="shared" si="11"/>
        <v>0</v>
      </c>
      <c r="X19" s="48">
        <f t="shared" si="24"/>
        <v>0</v>
      </c>
      <c r="Y19" s="48">
        <f t="shared" si="24"/>
        <v>0</v>
      </c>
      <c r="Z19" s="48"/>
      <c r="AA19" s="50">
        <f t="shared" si="12"/>
        <v>6868</v>
      </c>
      <c r="AB19" s="51">
        <f t="shared" si="13"/>
        <v>37889</v>
      </c>
      <c r="AC19" s="110"/>
    </row>
    <row r="20" spans="1:29" s="23" customFormat="1" ht="19" customHeight="1">
      <c r="A20" s="61"/>
      <c r="B20" s="23">
        <v>12</v>
      </c>
      <c r="C20" s="109">
        <v>44531</v>
      </c>
      <c r="D20" s="48">
        <f t="shared" si="25"/>
        <v>28000</v>
      </c>
      <c r="E20" s="48">
        <f t="shared" si="28"/>
        <v>0</v>
      </c>
      <c r="F20" s="48">
        <f t="shared" si="29"/>
        <v>8680</v>
      </c>
      <c r="G20" s="48">
        <f t="shared" si="27"/>
        <v>2520</v>
      </c>
      <c r="H20" s="48">
        <f t="shared" si="6"/>
        <v>3057</v>
      </c>
      <c r="I20" s="48">
        <f t="shared" si="14"/>
        <v>2000</v>
      </c>
      <c r="J20" s="48">
        <f t="shared" si="7"/>
        <v>0</v>
      </c>
      <c r="K20" s="48">
        <f t="shared" si="8"/>
        <v>0</v>
      </c>
      <c r="L20" s="48">
        <f t="shared" si="8"/>
        <v>500</v>
      </c>
      <c r="M20" s="48">
        <f t="shared" si="9"/>
        <v>0</v>
      </c>
      <c r="N20" s="49">
        <f t="shared" si="10"/>
        <v>44757</v>
      </c>
      <c r="O20" s="48">
        <f>IF($Z$2="Yes",ROUND((D20+F20)*0.1,0),IF($Z$2="No",IF(D20&lt;23101,1450,IF(D20&lt;28501,1625,IF(D20&lt;38501,2100,IF(D20&lt;51501,2850,IF(D20&lt;62001,3575,IF(D20&lt;72001,4200,IF(D20&lt;80001,4800,IF(D20&lt;116001,6150,IF(D20&lt;167001,8900,10500))))))))),0))</f>
        <v>3668</v>
      </c>
      <c r="P20" s="48">
        <f t="shared" si="16"/>
        <v>0</v>
      </c>
      <c r="Q20" s="48">
        <f t="shared" si="17"/>
        <v>3000</v>
      </c>
      <c r="R20" s="48">
        <f t="shared" si="18"/>
        <v>0</v>
      </c>
      <c r="S20" s="48">
        <f t="shared" si="19"/>
        <v>0</v>
      </c>
      <c r="T20" s="48">
        <f t="shared" si="20"/>
        <v>0</v>
      </c>
      <c r="U20" s="48">
        <v>0</v>
      </c>
      <c r="V20" s="48">
        <f t="shared" si="11"/>
        <v>200</v>
      </c>
      <c r="W20" s="48">
        <f t="shared" si="11"/>
        <v>0</v>
      </c>
      <c r="X20" s="48">
        <f t="shared" si="24"/>
        <v>0</v>
      </c>
      <c r="Y20" s="48">
        <f t="shared" si="24"/>
        <v>0</v>
      </c>
      <c r="Z20" s="48"/>
      <c r="AA20" s="50">
        <f t="shared" si="12"/>
        <v>6868</v>
      </c>
      <c r="AB20" s="51">
        <f t="shared" si="13"/>
        <v>37889</v>
      </c>
      <c r="AC20" s="110"/>
    </row>
    <row r="21" spans="1:29" s="23" customFormat="1" ht="19" customHeight="1">
      <c r="A21" s="61"/>
      <c r="B21" s="23">
        <v>1</v>
      </c>
      <c r="C21" s="109">
        <v>44562</v>
      </c>
      <c r="D21" s="48">
        <f t="shared" si="25"/>
        <v>28000</v>
      </c>
      <c r="E21" s="48">
        <f t="shared" si="28"/>
        <v>0</v>
      </c>
      <c r="F21" s="48">
        <f t="shared" si="29"/>
        <v>8680</v>
      </c>
      <c r="G21" s="48">
        <f t="shared" si="27"/>
        <v>2520</v>
      </c>
      <c r="H21" s="48">
        <f t="shared" si="6"/>
        <v>3057</v>
      </c>
      <c r="I21" s="48">
        <f t="shared" si="14"/>
        <v>2000</v>
      </c>
      <c r="J21" s="48">
        <f t="shared" si="7"/>
        <v>0</v>
      </c>
      <c r="K21" s="48">
        <f t="shared" si="8"/>
        <v>0</v>
      </c>
      <c r="L21" s="48">
        <f t="shared" si="8"/>
        <v>500</v>
      </c>
      <c r="M21" s="48">
        <f t="shared" si="9"/>
        <v>0</v>
      </c>
      <c r="N21" s="49">
        <f t="shared" si="10"/>
        <v>44757</v>
      </c>
      <c r="O21" s="48">
        <f>IF($Z$2="Yes",ROUND((D21+F21)*0.1,0),IF($Z$2="No",IF(D21&lt;23101,1450,IF(D21&lt;28501,1625,IF(D21&lt;38501,2100,IF(D21&lt;51501,2850,IF(D21&lt;62001,3575,IF(D21&lt;72001,4200,IF(D21&lt;80001,4800,IF(D21&lt;116001,6150,IF(D21&lt;167001,8900,10500))))))))),0))</f>
        <v>3668</v>
      </c>
      <c r="P21" s="48">
        <f t="shared" si="16"/>
        <v>0</v>
      </c>
      <c r="Q21" s="48">
        <f t="shared" si="17"/>
        <v>3000</v>
      </c>
      <c r="R21" s="48">
        <f t="shared" si="18"/>
        <v>0</v>
      </c>
      <c r="S21" s="48">
        <f t="shared" si="19"/>
        <v>0</v>
      </c>
      <c r="T21" s="48">
        <f t="shared" si="20"/>
        <v>0</v>
      </c>
      <c r="U21" s="48">
        <v>0</v>
      </c>
      <c r="V21" s="48">
        <f t="shared" si="11"/>
        <v>200</v>
      </c>
      <c r="W21" s="48">
        <f t="shared" si="11"/>
        <v>0</v>
      </c>
      <c r="X21" s="48">
        <f t="shared" si="24"/>
        <v>0</v>
      </c>
      <c r="Y21" s="48">
        <f t="shared" si="24"/>
        <v>0</v>
      </c>
      <c r="Z21" s="48"/>
      <c r="AA21" s="50">
        <f t="shared" si="12"/>
        <v>6868</v>
      </c>
      <c r="AB21" s="51">
        <f t="shared" si="13"/>
        <v>37889</v>
      </c>
      <c r="AC21" s="110"/>
    </row>
    <row r="22" spans="1:29" s="23" customFormat="1" ht="19" customHeight="1">
      <c r="A22" s="61"/>
      <c r="B22" s="23">
        <v>2</v>
      </c>
      <c r="C22" s="109">
        <v>44593</v>
      </c>
      <c r="D22" s="48">
        <f t="shared" si="25"/>
        <v>28000</v>
      </c>
      <c r="E22" s="48">
        <f t="shared" si="28"/>
        <v>0</v>
      </c>
      <c r="F22" s="48">
        <f t="shared" si="29"/>
        <v>8680</v>
      </c>
      <c r="G22" s="48">
        <f t="shared" si="27"/>
        <v>2520</v>
      </c>
      <c r="H22" s="48">
        <f t="shared" si="6"/>
        <v>3057</v>
      </c>
      <c r="I22" s="48">
        <f t="shared" si="14"/>
        <v>2000</v>
      </c>
      <c r="J22" s="48">
        <f t="shared" si="7"/>
        <v>0</v>
      </c>
      <c r="K22" s="48">
        <f t="shared" si="8"/>
        <v>0</v>
      </c>
      <c r="L22" s="48">
        <f t="shared" si="8"/>
        <v>500</v>
      </c>
      <c r="M22" s="48">
        <f t="shared" si="9"/>
        <v>0</v>
      </c>
      <c r="N22" s="49">
        <f t="shared" si="10"/>
        <v>44757</v>
      </c>
      <c r="O22" s="48">
        <f>IF($Z$2="Yes",ROUND((D22+F22)*0.1,0),IF($Z$2="No",IF(D22&lt;23101,1450,IF(D22&lt;28501,1625,IF(D22&lt;38501,2100,IF(D22&lt;51501,2850,IF(D22&lt;62001,3575,IF(D22&lt;72001,4200,IF(D22&lt;80001,4800,IF(D22&lt;116001,6150,IF(D22&lt;167001,8900,10500))))))))),0))</f>
        <v>3668</v>
      </c>
      <c r="P22" s="48">
        <f t="shared" si="16"/>
        <v>0</v>
      </c>
      <c r="Q22" s="48">
        <f t="shared" si="17"/>
        <v>3000</v>
      </c>
      <c r="R22" s="48">
        <f t="shared" si="18"/>
        <v>0</v>
      </c>
      <c r="S22" s="48">
        <f t="shared" si="19"/>
        <v>0</v>
      </c>
      <c r="T22" s="48">
        <f t="shared" si="20"/>
        <v>0</v>
      </c>
      <c r="U22" s="48">
        <v>0</v>
      </c>
      <c r="V22" s="48">
        <f t="shared" si="11"/>
        <v>200</v>
      </c>
      <c r="W22" s="48">
        <f t="shared" si="11"/>
        <v>0</v>
      </c>
      <c r="X22" s="48">
        <f t="shared" si="24"/>
        <v>0</v>
      </c>
      <c r="Y22" s="48">
        <f t="shared" si="24"/>
        <v>0</v>
      </c>
      <c r="Z22" s="48"/>
      <c r="AA22" s="50">
        <f t="shared" si="12"/>
        <v>6868</v>
      </c>
      <c r="AB22" s="51">
        <f t="shared" si="13"/>
        <v>37889</v>
      </c>
      <c r="AC22" s="110"/>
    </row>
    <row r="23" spans="1:29" s="23" customFormat="1" ht="19" customHeight="1">
      <c r="A23" s="61"/>
      <c r="C23" s="111" t="s">
        <v>170</v>
      </c>
      <c r="D23" s="48"/>
      <c r="E23" s="48"/>
      <c r="F23" s="48">
        <f>(ROUND(31%*D15,0)-ROUND(28%*D15,0))*3</f>
        <v>2520</v>
      </c>
      <c r="G23" s="48"/>
      <c r="H23" s="48"/>
      <c r="I23" s="48"/>
      <c r="J23" s="48"/>
      <c r="K23" s="48"/>
      <c r="L23" s="48"/>
      <c r="M23" s="48"/>
      <c r="N23" s="49">
        <f>F23</f>
        <v>2520</v>
      </c>
      <c r="O23" s="48">
        <f>IF($Z$2="Yes",ROUND((ROUND(31%*D15,0)-ROUND(28%*D15,0))*10%,0)*3,IF($Z$2="No",F23,0))</f>
        <v>252</v>
      </c>
      <c r="P23" s="48"/>
      <c r="Q23" s="48"/>
      <c r="R23" s="48"/>
      <c r="S23" s="48"/>
      <c r="T23" s="48">
        <v>0</v>
      </c>
      <c r="U23" s="48"/>
      <c r="V23" s="48"/>
      <c r="W23" s="48"/>
      <c r="X23" s="48"/>
      <c r="Y23" s="48">
        <f>IF($Z$2="Yes",N23-O23,IF($Z$2="No",0))</f>
        <v>2268</v>
      </c>
      <c r="Z23" s="48"/>
      <c r="AA23" s="50">
        <f t="shared" si="12"/>
        <v>2520</v>
      </c>
      <c r="AB23" s="51">
        <f t="shared" si="13"/>
        <v>0</v>
      </c>
      <c r="AC23" s="110"/>
    </row>
    <row r="24" spans="1:29" s="23" customFormat="1" ht="19" customHeight="1">
      <c r="A24" s="61"/>
      <c r="C24" s="111" t="s">
        <v>185</v>
      </c>
      <c r="D24" s="48"/>
      <c r="E24" s="48"/>
      <c r="F24" s="48"/>
      <c r="G24" s="48">
        <f>IF($AC$4=16%,ROUND(0.02*D15,0),ROUND(0.01*D15,0))</f>
        <v>280</v>
      </c>
      <c r="H24" s="48"/>
      <c r="I24" s="48"/>
      <c r="J24" s="48"/>
      <c r="K24" s="48"/>
      <c r="L24" s="48"/>
      <c r="M24" s="48"/>
      <c r="N24" s="280">
        <f t="shared" si="10"/>
        <v>280</v>
      </c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50">
        <f t="shared" si="12"/>
        <v>0</v>
      </c>
      <c r="AB24" s="51">
        <f t="shared" si="13"/>
        <v>280</v>
      </c>
      <c r="AC24" s="110"/>
    </row>
    <row r="25" spans="1:29" s="23" customFormat="1" ht="19" customHeight="1">
      <c r="A25" s="61"/>
      <c r="C25" s="112" t="s">
        <v>67</v>
      </c>
      <c r="D25" s="48">
        <f>IF(L3="NO",0,IF(X3=3,D22,VLOOKUP(X3,B11:D22,3,FALSE)))/2</f>
        <v>0</v>
      </c>
      <c r="E25" s="48"/>
      <c r="F25" s="48">
        <f>IF(AND(X3&gt;3,X3&lt;9),ROUND(17%*D25,0),ROUND(17%*D25,0))</f>
        <v>0</v>
      </c>
      <c r="G25" s="48"/>
      <c r="H25" s="48"/>
      <c r="I25" s="48"/>
      <c r="J25" s="48"/>
      <c r="K25" s="48"/>
      <c r="L25" s="48"/>
      <c r="M25" s="48"/>
      <c r="N25" s="280">
        <f t="shared" si="10"/>
        <v>0</v>
      </c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50">
        <f t="shared" si="12"/>
        <v>0</v>
      </c>
      <c r="AB25" s="51">
        <f t="shared" si="13"/>
        <v>0</v>
      </c>
      <c r="AC25" s="110"/>
    </row>
    <row r="26" spans="1:29" s="23" customFormat="1" ht="19" customHeight="1">
      <c r="A26" s="61"/>
      <c r="C26" s="112" t="s">
        <v>68</v>
      </c>
      <c r="D26" s="281">
        <f>IF(Z4="Yes",6774,0)</f>
        <v>6774</v>
      </c>
      <c r="E26" s="281"/>
      <c r="F26" s="281"/>
      <c r="G26" s="281"/>
      <c r="H26" s="281"/>
      <c r="I26" s="281"/>
      <c r="J26" s="281"/>
      <c r="K26" s="281"/>
      <c r="L26" s="281"/>
      <c r="M26" s="281"/>
      <c r="N26" s="49">
        <f t="shared" si="10"/>
        <v>6774</v>
      </c>
      <c r="O26" s="281">
        <f>IF($Z$2="Yes",0,IF($Z$2="No",D26/2,0))</f>
        <v>0</v>
      </c>
      <c r="P26" s="281"/>
      <c r="Q26" s="281"/>
      <c r="R26" s="281"/>
      <c r="S26" s="281"/>
      <c r="T26" s="281"/>
      <c r="U26" s="281"/>
      <c r="V26" s="281"/>
      <c r="W26" s="281"/>
      <c r="X26" s="281"/>
      <c r="Y26" s="281">
        <f>IF($Z$2="NO",0,IF($Z$2="YES",D26/2,0))</f>
        <v>3387</v>
      </c>
      <c r="Z26" s="281"/>
      <c r="AA26" s="50">
        <f t="shared" si="12"/>
        <v>3387</v>
      </c>
      <c r="AB26" s="51">
        <f t="shared" si="13"/>
        <v>3387</v>
      </c>
      <c r="AC26" s="110"/>
    </row>
    <row r="27" spans="1:29" s="23" customFormat="1" ht="19" customHeight="1">
      <c r="A27" s="61"/>
      <c r="C27" s="113" t="s">
        <v>83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280">
        <f t="shared" si="10"/>
        <v>0</v>
      </c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50">
        <f t="shared" si="12"/>
        <v>0</v>
      </c>
      <c r="AB27" s="51">
        <f t="shared" si="13"/>
        <v>0</v>
      </c>
      <c r="AC27" s="110"/>
    </row>
    <row r="28" spans="1:29" s="23" customFormat="1" ht="19" customHeight="1">
      <c r="A28" s="61"/>
      <c r="C28" s="113" t="s">
        <v>150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280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50">
        <f t="shared" ref="AA28:AA31" si="30">SUM(O28:Z28)</f>
        <v>0</v>
      </c>
      <c r="AB28" s="51">
        <f t="shared" ref="AB28:AB31" si="31">N28-AA28</f>
        <v>0</v>
      </c>
      <c r="AC28" s="110"/>
    </row>
    <row r="29" spans="1:29" s="23" customFormat="1" ht="19" customHeight="1">
      <c r="A29" s="61"/>
      <c r="C29" s="113" t="s">
        <v>151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280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50">
        <f t="shared" si="30"/>
        <v>0</v>
      </c>
      <c r="AB29" s="51">
        <f t="shared" si="31"/>
        <v>0</v>
      </c>
      <c r="AC29" s="110"/>
    </row>
    <row r="30" spans="1:29" s="23" customFormat="1" ht="19" customHeight="1">
      <c r="A30" s="61"/>
      <c r="C30" s="113" t="s">
        <v>152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280">
        <f t="shared" si="10"/>
        <v>0</v>
      </c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50">
        <f t="shared" si="30"/>
        <v>0</v>
      </c>
      <c r="AB30" s="51">
        <f t="shared" si="31"/>
        <v>0</v>
      </c>
      <c r="AC30" s="110"/>
    </row>
    <row r="31" spans="1:29" s="23" customFormat="1" ht="19" customHeight="1">
      <c r="A31" s="61"/>
      <c r="C31" s="113" t="s">
        <v>88</v>
      </c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280">
        <f t="shared" si="10"/>
        <v>0</v>
      </c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50">
        <f t="shared" si="30"/>
        <v>0</v>
      </c>
      <c r="AB31" s="51">
        <f t="shared" si="31"/>
        <v>0</v>
      </c>
      <c r="AC31" s="110"/>
    </row>
    <row r="32" spans="1:29" s="24" customFormat="1" ht="70.5" customHeight="1" thickBot="1">
      <c r="A32" s="62"/>
      <c r="C32" s="114" t="s">
        <v>59</v>
      </c>
      <c r="D32" s="115">
        <f>SUM(D11:D31)</f>
        <v>339574</v>
      </c>
      <c r="E32" s="115">
        <f t="shared" ref="E32:AB32" si="32">SUM(E11:E31)</f>
        <v>0</v>
      </c>
      <c r="F32" s="115">
        <f t="shared" si="32"/>
        <v>87936</v>
      </c>
      <c r="G32" s="115">
        <f t="shared" si="32"/>
        <v>28864</v>
      </c>
      <c r="H32" s="115"/>
      <c r="I32" s="115"/>
      <c r="J32" s="115">
        <f t="shared" si="32"/>
        <v>0</v>
      </c>
      <c r="K32" s="115">
        <f t="shared" si="32"/>
        <v>0</v>
      </c>
      <c r="L32" s="115">
        <f t="shared" si="32"/>
        <v>6000</v>
      </c>
      <c r="M32" s="115">
        <f t="shared" si="32"/>
        <v>0</v>
      </c>
      <c r="N32" s="115">
        <f t="shared" si="32"/>
        <v>521228</v>
      </c>
      <c r="O32" s="115">
        <f t="shared" si="32"/>
        <v>42072</v>
      </c>
      <c r="P32" s="115">
        <f t="shared" si="32"/>
        <v>0</v>
      </c>
      <c r="Q32" s="115">
        <f t="shared" si="32"/>
        <v>36000</v>
      </c>
      <c r="R32" s="115">
        <f t="shared" si="32"/>
        <v>0</v>
      </c>
      <c r="S32" s="115">
        <f t="shared" si="32"/>
        <v>0</v>
      </c>
      <c r="T32" s="115">
        <f t="shared" si="32"/>
        <v>0</v>
      </c>
      <c r="U32" s="116">
        <f t="shared" si="32"/>
        <v>220</v>
      </c>
      <c r="V32" s="115">
        <f t="shared" si="32"/>
        <v>2400</v>
      </c>
      <c r="W32" s="115">
        <f t="shared" si="32"/>
        <v>0</v>
      </c>
      <c r="X32" s="115">
        <f t="shared" si="32"/>
        <v>0</v>
      </c>
      <c r="Y32" s="115">
        <f t="shared" si="32"/>
        <v>5655</v>
      </c>
      <c r="Z32" s="115">
        <f t="shared" si="32"/>
        <v>500</v>
      </c>
      <c r="AA32" s="116">
        <f t="shared" si="32"/>
        <v>86847</v>
      </c>
      <c r="AB32" s="116">
        <f t="shared" si="32"/>
        <v>434381</v>
      </c>
      <c r="AC32" s="117"/>
    </row>
    <row r="33" spans="1:30" s="7" customFormat="1">
      <c r="A33" s="63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30" s="7" customFormat="1">
      <c r="A34" s="63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30" s="7" customFormat="1">
      <c r="A35" s="6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30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6"/>
    </row>
    <row r="37" spans="1:30" ht="13"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1" t="s">
        <v>60</v>
      </c>
      <c r="AC37" s="3"/>
      <c r="AD37" s="6"/>
    </row>
    <row r="38" spans="1:30">
      <c r="AD38" s="6"/>
    </row>
    <row r="39" spans="1:30" ht="13"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6"/>
    </row>
    <row r="40" spans="1:30">
      <c r="AD40" s="6"/>
    </row>
    <row r="41" spans="1:30">
      <c r="AD41" s="6"/>
    </row>
    <row r="42" spans="1:30">
      <c r="AD42" s="6"/>
    </row>
    <row r="43" spans="1:30">
      <c r="AD43" s="6"/>
    </row>
    <row r="44" spans="1:30" hidden="1">
      <c r="AD44" s="6"/>
    </row>
    <row r="45" spans="1:30" hidden="1">
      <c r="AD45" s="6"/>
    </row>
    <row r="46" spans="1:30" hidden="1">
      <c r="AD46" s="6"/>
    </row>
    <row r="47" spans="1:30" hidden="1">
      <c r="AD47" s="6"/>
    </row>
    <row r="48" spans="1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30:30" hidden="1">
      <c r="AD945" s="6"/>
    </row>
    <row r="946" spans="30:30" hidden="1">
      <c r="AD946" s="6"/>
    </row>
    <row r="947" spans="30:30" hidden="1">
      <c r="AD947" s="6"/>
    </row>
    <row r="948" spans="30:30" hidden="1">
      <c r="AD948" s="6"/>
    </row>
    <row r="949" spans="30:30" hidden="1">
      <c r="AD949" s="6"/>
    </row>
    <row r="950" spans="30:30" hidden="1">
      <c r="AD950" s="6"/>
    </row>
    <row r="951" spans="30:30"/>
    <row r="952" spans="30:30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L3:M3"/>
    <mergeCell ref="X3:Y3"/>
    <mergeCell ref="N3:W3"/>
    <mergeCell ref="D2:W2"/>
    <mergeCell ref="P8:R8"/>
    <mergeCell ref="G8:J8"/>
    <mergeCell ref="K8:N8"/>
    <mergeCell ref="D8:F9"/>
    <mergeCell ref="G9:J9"/>
    <mergeCell ref="D3:K3"/>
    <mergeCell ref="C1:C5"/>
    <mergeCell ref="D5:AC5"/>
    <mergeCell ref="C39:AC39"/>
    <mergeCell ref="P4:Q4"/>
    <mergeCell ref="Z4:AA4"/>
    <mergeCell ref="R4:W4"/>
    <mergeCell ref="D4:M4"/>
    <mergeCell ref="U8:W8"/>
    <mergeCell ref="Z9:AA9"/>
    <mergeCell ref="AB9:AC9"/>
    <mergeCell ref="M9:T9"/>
    <mergeCell ref="Z2:AA2"/>
    <mergeCell ref="C6:AC6"/>
    <mergeCell ref="C7:AC7"/>
    <mergeCell ref="AB8:AC8"/>
    <mergeCell ref="Z8:AA8"/>
  </mergeCells>
  <phoneticPr fontId="0" type="noConversion"/>
  <conditionalFormatting sqref="Y12:Z31 D11:Y31">
    <cfRule type="cellIs" dxfId="0" priority="8" stopIfTrue="1" operator="equal">
      <formula>0</formula>
    </cfRule>
  </conditionalFormatting>
  <dataValidations count="3">
    <dataValidation type="list" allowBlank="1" showInputMessage="1" showErrorMessage="1" sqref="Z4 Z2 L3 P4">
      <formula1>"Yes,No"</formula1>
    </dataValidation>
    <dataValidation type="list" allowBlank="1" showInputMessage="1" showErrorMessage="1" sqref="X3:Y3">
      <formula1>"4,5,6,7,8,9,10,11,12,1,2,3"</formula1>
    </dataValidation>
    <dataValidation type="list" allowBlank="1" showInputMessage="1" showErrorMessage="1" sqref="AC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7265625" style="1" customWidth="1" collapsed="1"/>
    <col min="2" max="2" width="14.453125" style="1" customWidth="1" collapsed="1"/>
    <col min="3" max="3" width="0.54296875" style="1" customWidth="1" collapsed="1"/>
    <col min="4" max="4" width="68.26953125" style="1" customWidth="1" collapsed="1"/>
    <col min="5" max="5" width="14.453125" style="1" customWidth="1" collapsed="1"/>
    <col min="6" max="6" width="17.54296875" style="57" customWidth="1" collapsed="1"/>
    <col min="7" max="7" width="15.1796875" style="1" hidden="1" customWidth="1" collapsed="1"/>
    <col min="8" max="8" width="7.26953125" style="1" hidden="1" customWidth="1" collapsed="1"/>
    <col min="9" max="9" width="5.7265625" style="1" hidden="1" customWidth="1" collapsed="1"/>
    <col min="10" max="11" width="7.1796875" style="1" hidden="1" customWidth="1" collapsed="1"/>
    <col min="12" max="12" width="7.7265625" style="1" hidden="1" customWidth="1" collapsed="1"/>
    <col min="13" max="13" width="8.2695312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7265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26953125" style="1" hidden="1" customWidth="1" collapsed="1"/>
    <col min="31" max="31" width="8.26953125" style="1" hidden="1" customWidth="1" collapsed="1"/>
    <col min="32" max="33" width="5.26953125" style="1" hidden="1" customWidth="1" collapsed="1"/>
    <col min="34" max="34" width="8.2695312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26953125" style="1" hidden="1" customWidth="1" collapsed="1"/>
    <col min="41" max="41" width="7.7265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2695312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7265625" style="1" hidden="1" customWidth="1" collapsed="1"/>
    <col min="67" max="67" width="5.1796875" style="1" hidden="1" customWidth="1" collapsed="1"/>
    <col min="68" max="69" width="7.7265625" style="1" hidden="1" customWidth="1" collapsed="1"/>
    <col min="70" max="71" width="7.26953125" style="1" hidden="1" customWidth="1" collapsed="1"/>
    <col min="72" max="72" width="9.7265625" style="1" hidden="1" customWidth="1" collapsed="1"/>
    <col min="73" max="73" width="9.26953125" style="1" hidden="1" customWidth="1" collapsed="1"/>
    <col min="74" max="74" width="7.7265625" style="1" hidden="1" customWidth="1" collapsed="1"/>
    <col min="75" max="75" width="7.81640625" style="1" hidden="1" customWidth="1" collapsed="1"/>
    <col min="76" max="76" width="9.2695312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26953125" style="1" hidden="1" customWidth="1" collapsed="1"/>
    <col min="81" max="81" width="9" style="1" hidden="1" customWidth="1" collapsed="1"/>
    <col min="82" max="82" width="7.7265625" style="1" hidden="1" customWidth="1" collapsed="1"/>
    <col min="83" max="83" width="5.1796875" style="1" hidden="1" customWidth="1" collapsed="1"/>
    <col min="84" max="84" width="7.26953125" style="1" hidden="1" customWidth="1" collapsed="1"/>
    <col min="85" max="85" width="6.54296875" style="1" hidden="1" customWidth="1" collapsed="1"/>
    <col min="86" max="86" width="6.2695312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26953125" style="1" hidden="1" customWidth="1" collapsed="1"/>
    <col min="90" max="94" width="5.26953125" style="1" hidden="1" customWidth="1" collapsed="1"/>
    <col min="95" max="95" width="5.1796875" style="1" hidden="1" customWidth="1" collapsed="1"/>
    <col min="96" max="96" width="7.54296875" style="1" hidden="1" customWidth="1" collapsed="1"/>
    <col min="97" max="97" width="7.26953125" style="1" hidden="1" customWidth="1" collapsed="1"/>
    <col min="98" max="98" width="12.81640625" style="1" hidden="1" customWidth="1" collapsed="1"/>
    <col min="99" max="99" width="7.2695312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7265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64" t="s">
        <v>137</v>
      </c>
      <c r="B1" s="164"/>
      <c r="C1" s="164"/>
      <c r="D1" s="164"/>
      <c r="E1" s="164"/>
      <c r="F1" s="164"/>
    </row>
    <row r="2" spans="1:122" ht="27.75" customHeight="1">
      <c r="A2" s="165" t="str">
        <f>'GA-55'!D8&amp; " ,   " &amp;'GA-55'!K8&amp;"                         PAN-  "&amp;'GA-55'!P8</f>
        <v>PARMANAND MEGHWAL ,   SR TEACHER                         PAN-  ASQPM6311G</v>
      </c>
      <c r="B2" s="165"/>
      <c r="C2" s="165"/>
      <c r="D2" s="165"/>
      <c r="E2" s="165"/>
      <c r="F2" s="165"/>
    </row>
    <row r="3" spans="1:122" ht="15" customHeight="1">
      <c r="A3" s="285" t="s">
        <v>117</v>
      </c>
      <c r="B3" s="92">
        <v>0</v>
      </c>
      <c r="C3" s="93"/>
      <c r="D3" s="285" t="s">
        <v>213</v>
      </c>
      <c r="E3" s="92">
        <v>0</v>
      </c>
      <c r="F3" s="88" t="s">
        <v>167</v>
      </c>
      <c r="DR3" s="5" t="s">
        <v>16</v>
      </c>
    </row>
    <row r="4" spans="1:122" ht="16.5">
      <c r="A4" s="286" t="s">
        <v>209</v>
      </c>
      <c r="B4" s="94">
        <v>0</v>
      </c>
      <c r="C4" s="95"/>
      <c r="D4" s="287" t="s">
        <v>145</v>
      </c>
      <c r="E4" s="94">
        <v>0</v>
      </c>
      <c r="F4" s="88">
        <f>'GA-55'!N32-'GA-55'!G32</f>
        <v>492364</v>
      </c>
      <c r="DR4" s="5"/>
    </row>
    <row r="5" spans="1:122" ht="15" customHeight="1">
      <c r="A5" s="285" t="s">
        <v>210</v>
      </c>
      <c r="B5" s="92">
        <v>0</v>
      </c>
      <c r="C5" s="93"/>
      <c r="D5" s="285" t="s">
        <v>139</v>
      </c>
      <c r="E5" s="92">
        <v>0</v>
      </c>
      <c r="F5" s="89" t="s">
        <v>24</v>
      </c>
      <c r="DR5" s="5"/>
    </row>
    <row r="6" spans="1:122" ht="17.25" customHeight="1">
      <c r="A6" s="287" t="s">
        <v>118</v>
      </c>
      <c r="B6" s="94">
        <v>0</v>
      </c>
      <c r="C6" s="95"/>
      <c r="D6" s="287" t="s">
        <v>214</v>
      </c>
      <c r="E6" s="94">
        <v>0</v>
      </c>
      <c r="F6" s="89">
        <f>'Tax Old Regime'!Q47</f>
        <v>384880</v>
      </c>
      <c r="DR6" s="5"/>
    </row>
    <row r="7" spans="1:122" ht="15" customHeight="1">
      <c r="A7" s="285" t="s">
        <v>119</v>
      </c>
      <c r="B7" s="92">
        <v>0</v>
      </c>
      <c r="C7" s="93"/>
      <c r="D7" s="289" t="s">
        <v>215</v>
      </c>
      <c r="E7" s="92">
        <v>0</v>
      </c>
      <c r="F7" s="90" t="s">
        <v>66</v>
      </c>
      <c r="DR7" s="5"/>
    </row>
    <row r="8" spans="1:122" ht="15" customHeight="1">
      <c r="A8" s="288" t="s">
        <v>120</v>
      </c>
      <c r="B8" s="96">
        <v>0</v>
      </c>
      <c r="C8" s="95"/>
      <c r="D8" s="287" t="s">
        <v>216</v>
      </c>
      <c r="E8" s="96">
        <v>0</v>
      </c>
      <c r="F8" s="91">
        <f>'GA-55'!X32</f>
        <v>0</v>
      </c>
      <c r="DR8" s="5"/>
    </row>
    <row r="9" spans="1:122" ht="15" customHeight="1">
      <c r="A9" s="285" t="s">
        <v>121</v>
      </c>
      <c r="B9" s="92">
        <v>0</v>
      </c>
      <c r="C9" s="93"/>
      <c r="D9" s="285" t="s">
        <v>217</v>
      </c>
      <c r="E9" s="92">
        <v>0</v>
      </c>
      <c r="F9" s="166" t="s">
        <v>104</v>
      </c>
      <c r="DR9" s="5"/>
    </row>
    <row r="10" spans="1:122" ht="15" customHeight="1">
      <c r="A10" s="288" t="s">
        <v>122</v>
      </c>
      <c r="B10" s="96">
        <v>0</v>
      </c>
      <c r="C10" s="95"/>
      <c r="D10" s="288" t="s">
        <v>218</v>
      </c>
      <c r="E10" s="96">
        <v>0</v>
      </c>
      <c r="F10" s="166"/>
      <c r="DR10" s="5" t="s">
        <v>17</v>
      </c>
    </row>
    <row r="11" spans="1:122" ht="15" customHeight="1">
      <c r="A11" s="285" t="s">
        <v>186</v>
      </c>
      <c r="B11" s="92">
        <v>0</v>
      </c>
      <c r="C11" s="93"/>
      <c r="D11" s="285" t="s">
        <v>219</v>
      </c>
      <c r="E11" s="92">
        <v>0</v>
      </c>
      <c r="F11" s="166"/>
      <c r="DR11" s="5" t="s">
        <v>19</v>
      </c>
    </row>
    <row r="12" spans="1:122" ht="15" customHeight="1">
      <c r="A12" s="288" t="s">
        <v>187</v>
      </c>
      <c r="B12" s="96">
        <v>0</v>
      </c>
      <c r="C12" s="95"/>
      <c r="D12" s="288" t="s">
        <v>220</v>
      </c>
      <c r="E12" s="96">
        <v>0</v>
      </c>
      <c r="F12" s="89">
        <f>'Tax Old Regime'!Q31</f>
        <v>86347</v>
      </c>
      <c r="DR12" s="5" t="s">
        <v>3</v>
      </c>
    </row>
    <row r="13" spans="1:122" ht="15" customHeight="1">
      <c r="A13" s="285" t="s">
        <v>123</v>
      </c>
      <c r="B13" s="92">
        <v>0</v>
      </c>
      <c r="C13" s="93"/>
      <c r="D13" s="285" t="s">
        <v>221</v>
      </c>
      <c r="E13" s="92">
        <v>0</v>
      </c>
      <c r="F13" s="89"/>
      <c r="DR13" s="5"/>
    </row>
    <row r="14" spans="1:122" ht="15" customHeight="1">
      <c r="A14" s="288" t="s">
        <v>211</v>
      </c>
      <c r="B14" s="96">
        <v>0</v>
      </c>
      <c r="C14" s="95"/>
      <c r="D14" s="288" t="s">
        <v>222</v>
      </c>
      <c r="E14" s="96">
        <v>0</v>
      </c>
      <c r="F14" s="167" t="s">
        <v>7</v>
      </c>
      <c r="DR14" s="5" t="s">
        <v>0</v>
      </c>
    </row>
    <row r="15" spans="1:122" ht="15" customHeight="1">
      <c r="A15" s="285" t="s">
        <v>124</v>
      </c>
      <c r="B15" s="92">
        <v>0</v>
      </c>
      <c r="C15" s="93"/>
      <c r="D15" s="285" t="s">
        <v>146</v>
      </c>
      <c r="E15" s="92">
        <v>0</v>
      </c>
      <c r="F15" s="167"/>
      <c r="DR15" s="5" t="s">
        <v>19</v>
      </c>
    </row>
    <row r="16" spans="1:122" ht="15" customHeight="1">
      <c r="A16" s="288" t="s">
        <v>212</v>
      </c>
      <c r="B16" s="96">
        <v>0</v>
      </c>
      <c r="C16" s="95"/>
      <c r="D16" s="288" t="s">
        <v>147</v>
      </c>
      <c r="E16" s="96">
        <v>0</v>
      </c>
      <c r="F16" s="167"/>
      <c r="DR16" s="5" t="s">
        <v>20</v>
      </c>
    </row>
    <row r="17" spans="1:122" ht="15" customHeight="1">
      <c r="A17" s="285" t="s">
        <v>125</v>
      </c>
      <c r="B17" s="92">
        <v>0</v>
      </c>
      <c r="C17" s="93"/>
      <c r="D17" s="285" t="s">
        <v>148</v>
      </c>
      <c r="E17" s="92">
        <v>0</v>
      </c>
      <c r="F17" s="170">
        <f>IF(B3&gt;=1,(F4*10%+B3),0)</f>
        <v>0</v>
      </c>
      <c r="DR17" s="5" t="s">
        <v>4</v>
      </c>
    </row>
    <row r="18" spans="1:122" ht="15" customHeight="1">
      <c r="A18" s="288" t="s">
        <v>188</v>
      </c>
      <c r="B18" s="96">
        <v>0</v>
      </c>
      <c r="C18" s="95"/>
      <c r="D18" s="288" t="s">
        <v>189</v>
      </c>
      <c r="E18" s="96">
        <v>0</v>
      </c>
      <c r="F18" s="170"/>
      <c r="DR18" s="5" t="s">
        <v>21</v>
      </c>
    </row>
    <row r="19" spans="1:122" ht="15" customHeight="1">
      <c r="A19" s="169" t="str">
        <f>'Tax Old Regime'!B63</f>
        <v>Income Tax Payble/Refundable</v>
      </c>
      <c r="B19" s="169"/>
      <c r="C19" s="83"/>
      <c r="D19" s="84">
        <f>'Tax Old Regime'!Q63</f>
        <v>0</v>
      </c>
      <c r="E19" s="97" t="s">
        <v>138</v>
      </c>
      <c r="F19" s="87">
        <f>'GA-55'!G32</f>
        <v>28864</v>
      </c>
      <c r="DR19" s="5" t="s">
        <v>6</v>
      </c>
    </row>
    <row r="20" spans="1:122" ht="15" customHeight="1">
      <c r="A20" s="168" t="str">
        <f>"Total Rebate of (US 80C, 80CCC,80CCD(1)) =  "&amp;'Tax Old Regime'!Q31</f>
        <v>Total Rebate of (US 80C, 80CCC,80CCD(1)) =  86347</v>
      </c>
      <c r="B20" s="168"/>
      <c r="C20" s="2"/>
      <c r="D20" s="58" t="str">
        <f>"Investable Amount = "&amp;(150000-'Tax Old Regime'!Q31)</f>
        <v>Investable Amount = 63653</v>
      </c>
      <c r="E20" s="2"/>
      <c r="F20" s="2"/>
      <c r="DR20" s="5" t="s">
        <v>18</v>
      </c>
    </row>
    <row r="21" spans="1:122" ht="48" customHeight="1">
      <c r="A21" s="162" t="s">
        <v>177</v>
      </c>
      <c r="B21" s="163"/>
      <c r="C21" s="163"/>
      <c r="D21" s="163"/>
      <c r="E21" s="163"/>
      <c r="F21" s="163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3" priority="7" stopIfTrue="1">
      <formula>$A$19="Income Tax Refundable"</formula>
    </cfRule>
    <cfRule type="expression" dxfId="2" priority="8" stopIfTrue="1">
      <formula>$A$19="Income Tax Payable"</formula>
    </cfRule>
  </conditionalFormatting>
  <conditionalFormatting sqref="DR11:DR20">
    <cfRule type="cellIs" dxfId="1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workbookViewId="0">
      <selection activeCell="I27" sqref="I27"/>
    </sheetView>
  </sheetViews>
  <sheetFormatPr defaultColWidth="0" defaultRowHeight="15.5" zeroHeight="1"/>
  <cols>
    <col min="1" max="1" width="3" customWidth="1" collapsed="1"/>
    <col min="2" max="2" width="3.5429687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72656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.453125" style="14" customWidth="1" collapsed="1"/>
    <col min="16" max="16" width="3.1796875" style="16" customWidth="1" collapsed="1"/>
    <col min="17" max="17" width="14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194" t="str">
        <f>'GA-55'!C6</f>
        <v>GOVT SR. SEC SCHOOL DILOD HATHI, ATRU BARAN</v>
      </c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</row>
    <row r="2" spans="2:17" s="20" customFormat="1" ht="21" thickBot="1">
      <c r="B2" s="195" t="s">
        <v>184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</row>
    <row r="3" spans="2:17" s="20" customFormat="1" ht="15" customHeight="1">
      <c r="B3" s="40">
        <v>1</v>
      </c>
      <c r="C3" s="196" t="s">
        <v>9</v>
      </c>
      <c r="D3" s="197"/>
      <c r="E3" s="202" t="str">
        <f>'GA-55'!D8</f>
        <v>PARMANAND MEGHWAL</v>
      </c>
      <c r="F3" s="202"/>
      <c r="G3" s="202"/>
      <c r="H3" s="202"/>
      <c r="I3" s="202"/>
      <c r="J3" s="202"/>
      <c r="K3" s="41" t="s">
        <v>27</v>
      </c>
      <c r="L3" s="203" t="str">
        <f>'GA-55'!K8</f>
        <v>SR TEACHER</v>
      </c>
      <c r="M3" s="203"/>
      <c r="N3" s="203"/>
      <c r="O3" s="42" t="s">
        <v>26</v>
      </c>
      <c r="P3" s="198" t="str">
        <f>IF('GA-55'!P8="","",'GA-55'!P8)</f>
        <v>ASQPM6311G</v>
      </c>
      <c r="Q3" s="199"/>
    </row>
    <row r="4" spans="2:17" s="20" customFormat="1" ht="15" customHeight="1">
      <c r="B4" s="32">
        <v>2</v>
      </c>
      <c r="C4" s="200" t="s">
        <v>171</v>
      </c>
      <c r="D4" s="200"/>
      <c r="E4" s="172"/>
      <c r="F4" s="172"/>
      <c r="G4" s="172"/>
      <c r="H4" s="172"/>
      <c r="I4" s="172"/>
      <c r="J4" s="172"/>
      <c r="K4" s="200"/>
      <c r="L4" s="172"/>
      <c r="M4" s="172"/>
      <c r="N4" s="172"/>
      <c r="O4" s="200"/>
      <c r="P4" s="78" t="s">
        <v>10</v>
      </c>
      <c r="Q4" s="33">
        <f>IF('GA-55'!Z2="No",'GA-55'!N32,('GA-55'!N32+'GA-55'!O32))</f>
        <v>563300</v>
      </c>
    </row>
    <row r="5" spans="2:17" s="20" customFormat="1" ht="15" customHeight="1">
      <c r="B5" s="32">
        <v>3</v>
      </c>
      <c r="C5" s="172" t="s">
        <v>112</v>
      </c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28" t="s">
        <v>10</v>
      </c>
      <c r="Q5" s="34">
        <f>'Other Deduction'!B3</f>
        <v>0</v>
      </c>
    </row>
    <row r="6" spans="2:17" s="20" customFormat="1" ht="15" customHeight="1">
      <c r="B6" s="32">
        <v>4</v>
      </c>
      <c r="C6" s="201" t="s">
        <v>28</v>
      </c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28" t="s">
        <v>10</v>
      </c>
      <c r="Q6" s="34">
        <f>Q4-Q5</f>
        <v>563300</v>
      </c>
    </row>
    <row r="7" spans="2:17" s="20" customFormat="1" ht="15" customHeight="1">
      <c r="B7" s="204">
        <v>5</v>
      </c>
      <c r="C7" s="189" t="s">
        <v>196</v>
      </c>
      <c r="D7" s="190"/>
      <c r="E7" s="190"/>
      <c r="F7" s="190"/>
      <c r="G7" s="190"/>
      <c r="H7" s="190"/>
      <c r="I7" s="190"/>
      <c r="J7" s="190"/>
      <c r="K7" s="190"/>
      <c r="L7" s="190"/>
      <c r="M7" s="185">
        <f>'Other Deduction'!B4</f>
        <v>0</v>
      </c>
      <c r="N7" s="185"/>
      <c r="O7" s="185"/>
      <c r="P7" s="207"/>
      <c r="Q7" s="208"/>
    </row>
    <row r="8" spans="2:17" s="20" customFormat="1" ht="15" customHeight="1">
      <c r="B8" s="205"/>
      <c r="C8" s="189" t="s">
        <v>70</v>
      </c>
      <c r="D8" s="190"/>
      <c r="E8" s="190"/>
      <c r="F8" s="190"/>
      <c r="G8" s="190"/>
      <c r="H8" s="190"/>
      <c r="I8" s="190"/>
      <c r="J8" s="190"/>
      <c r="K8" s="190"/>
      <c r="L8" s="190"/>
      <c r="M8" s="185">
        <f>'Other Deduction'!B5</f>
        <v>0</v>
      </c>
      <c r="N8" s="185"/>
      <c r="O8" s="185"/>
      <c r="P8" s="209"/>
      <c r="Q8" s="210"/>
    </row>
    <row r="9" spans="2:17" s="20" customFormat="1" ht="15" customHeight="1">
      <c r="B9" s="206"/>
      <c r="C9" s="189" t="s">
        <v>166</v>
      </c>
      <c r="D9" s="190"/>
      <c r="E9" s="190"/>
      <c r="F9" s="190"/>
      <c r="G9" s="190"/>
      <c r="H9" s="190"/>
      <c r="I9" s="190"/>
      <c r="J9" s="190"/>
      <c r="K9" s="190"/>
      <c r="L9" s="190"/>
      <c r="M9" s="185">
        <f>IF(Q6&lt;50000,Q6,50000)</f>
        <v>50000</v>
      </c>
      <c r="N9" s="185"/>
      <c r="O9" s="185"/>
      <c r="P9" s="28" t="s">
        <v>10</v>
      </c>
      <c r="Q9" s="34">
        <f>SUM(M7:O9)</f>
        <v>50000</v>
      </c>
    </row>
    <row r="10" spans="2:17" s="20" customFormat="1" ht="15" customHeight="1">
      <c r="B10" s="32">
        <v>6</v>
      </c>
      <c r="C10" s="173" t="s">
        <v>11</v>
      </c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28" t="s">
        <v>10</v>
      </c>
      <c r="Q10" s="34">
        <f>Q6-Q9</f>
        <v>513300</v>
      </c>
    </row>
    <row r="11" spans="2:17" s="20" customFormat="1" ht="15" customHeight="1">
      <c r="B11" s="171">
        <v>7</v>
      </c>
      <c r="C11" s="172" t="s">
        <v>29</v>
      </c>
      <c r="D11" s="172"/>
      <c r="E11" s="172"/>
      <c r="F11" s="172"/>
      <c r="G11" s="172"/>
      <c r="H11" s="172"/>
      <c r="I11" s="172"/>
      <c r="J11" s="172"/>
      <c r="K11" s="173" t="s">
        <v>30</v>
      </c>
      <c r="L11" s="173"/>
      <c r="M11" s="185">
        <f>'Other Deduction'!B6</f>
        <v>0</v>
      </c>
      <c r="N11" s="185"/>
      <c r="O11" s="185"/>
      <c r="P11" s="186"/>
      <c r="Q11" s="187"/>
    </row>
    <row r="12" spans="2:17" s="20" customFormat="1" ht="15" customHeight="1">
      <c r="B12" s="171"/>
      <c r="C12" s="180" t="s">
        <v>31</v>
      </c>
      <c r="D12" s="181"/>
      <c r="E12" s="177" t="s">
        <v>84</v>
      </c>
      <c r="F12" s="178"/>
      <c r="G12" s="179"/>
      <c r="H12" s="188" t="s">
        <v>12</v>
      </c>
      <c r="I12" s="188"/>
      <c r="J12" s="188"/>
      <c r="K12" s="173" t="s">
        <v>32</v>
      </c>
      <c r="L12" s="173"/>
      <c r="M12" s="173" t="s">
        <v>61</v>
      </c>
      <c r="N12" s="173"/>
      <c r="O12" s="173"/>
      <c r="P12" s="186"/>
      <c r="Q12" s="187"/>
    </row>
    <row r="13" spans="2:17" s="20" customFormat="1" ht="15" customHeight="1">
      <c r="B13" s="171"/>
      <c r="C13" s="182"/>
      <c r="D13" s="183"/>
      <c r="E13" s="174">
        <f>ROUND(M11*0.3,0)</f>
        <v>0</v>
      </c>
      <c r="F13" s="175"/>
      <c r="G13" s="176"/>
      <c r="H13" s="185">
        <f>IF(('GA-55'!W32+'Other Deduction'!B9)&gt;200000,200000,('GA-55'!W32+'Other Deduction'!B9))</f>
        <v>0</v>
      </c>
      <c r="I13" s="185"/>
      <c r="J13" s="185"/>
      <c r="K13" s="185">
        <f>'Other Deduction'!B7</f>
        <v>0</v>
      </c>
      <c r="L13" s="185"/>
      <c r="M13" s="185">
        <f>E13+H13+K13</f>
        <v>0</v>
      </c>
      <c r="N13" s="185"/>
      <c r="O13" s="185"/>
      <c r="P13" s="186"/>
      <c r="Q13" s="187"/>
    </row>
    <row r="14" spans="2:17" s="20" customFormat="1" ht="15" customHeight="1">
      <c r="B14" s="32"/>
      <c r="C14" s="173" t="s">
        <v>33</v>
      </c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28" t="s">
        <v>10</v>
      </c>
      <c r="Q14" s="34">
        <f>M11-M13</f>
        <v>0</v>
      </c>
    </row>
    <row r="15" spans="2:17" s="20" customFormat="1" ht="15" customHeight="1">
      <c r="B15" s="32">
        <v>8</v>
      </c>
      <c r="C15" s="173" t="s">
        <v>62</v>
      </c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28" t="s">
        <v>10</v>
      </c>
      <c r="Q15" s="34">
        <f>Q10+Q14</f>
        <v>513300</v>
      </c>
    </row>
    <row r="16" spans="2:17" s="20" customFormat="1" ht="15" customHeight="1">
      <c r="B16" s="32">
        <v>9</v>
      </c>
      <c r="C16" s="172" t="s">
        <v>25</v>
      </c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28" t="s">
        <v>10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72" t="s">
        <v>34</v>
      </c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28" t="s">
        <v>10</v>
      </c>
      <c r="Q17" s="33">
        <f>Q15+Q16</f>
        <v>513300</v>
      </c>
    </row>
    <row r="18" spans="2:17" s="20" customFormat="1" ht="15" customHeight="1">
      <c r="B18" s="204">
        <v>11</v>
      </c>
      <c r="C18" s="193" t="s">
        <v>113</v>
      </c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211"/>
    </row>
    <row r="19" spans="2:17" s="20" customFormat="1" ht="15" customHeight="1">
      <c r="B19" s="205"/>
      <c r="C19" s="212" t="s">
        <v>98</v>
      </c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3"/>
    </row>
    <row r="20" spans="2:17" s="20" customFormat="1" ht="15" customHeight="1">
      <c r="B20" s="205"/>
      <c r="C20" s="8" t="s">
        <v>35</v>
      </c>
      <c r="D20" s="172" t="s">
        <v>71</v>
      </c>
      <c r="E20" s="172"/>
      <c r="F20" s="172"/>
      <c r="G20" s="172"/>
      <c r="H20" s="28" t="s">
        <v>10</v>
      </c>
      <c r="I20" s="18">
        <f>'GA-55'!Q32</f>
        <v>36000</v>
      </c>
      <c r="J20" s="8" t="s">
        <v>38</v>
      </c>
      <c r="K20" s="214" t="s">
        <v>106</v>
      </c>
      <c r="L20" s="214"/>
      <c r="M20" s="214"/>
      <c r="N20" s="28" t="s">
        <v>10</v>
      </c>
      <c r="O20" s="86">
        <f>IF('GA-55'!Z2="Yes",'GA-55'!O32-Q33,0)</f>
        <v>42072</v>
      </c>
      <c r="P20" s="207"/>
      <c r="Q20" s="208"/>
    </row>
    <row r="21" spans="2:17" s="20" customFormat="1" ht="15" customHeight="1">
      <c r="B21" s="205"/>
      <c r="C21" s="8" t="s">
        <v>37</v>
      </c>
      <c r="D21" s="172" t="s">
        <v>72</v>
      </c>
      <c r="E21" s="172"/>
      <c r="F21" s="172"/>
      <c r="G21" s="172"/>
      <c r="H21" s="28" t="s">
        <v>10</v>
      </c>
      <c r="I21" s="18">
        <f>'GA-55'!T32+'Other Deduction'!B10</f>
        <v>0</v>
      </c>
      <c r="J21" s="8" t="s">
        <v>41</v>
      </c>
      <c r="K21" s="215" t="s">
        <v>39</v>
      </c>
      <c r="L21" s="215"/>
      <c r="M21" s="215"/>
      <c r="N21" s="28" t="s">
        <v>10</v>
      </c>
      <c r="O21" s="18">
        <f>'Other Deduction'!E6</f>
        <v>0</v>
      </c>
      <c r="P21" s="219"/>
      <c r="Q21" s="220"/>
    </row>
    <row r="22" spans="2:17" s="20" customFormat="1" ht="15" customHeight="1">
      <c r="B22" s="205"/>
      <c r="C22" s="8" t="s">
        <v>40</v>
      </c>
      <c r="D22" s="172" t="s">
        <v>73</v>
      </c>
      <c r="E22" s="172"/>
      <c r="F22" s="172"/>
      <c r="G22" s="172"/>
      <c r="H22" s="28" t="s">
        <v>10</v>
      </c>
      <c r="I22" s="18">
        <f>'Other Deduction'!B14</f>
        <v>0</v>
      </c>
      <c r="J22" s="8" t="s">
        <v>43</v>
      </c>
      <c r="K22" s="215" t="s">
        <v>15</v>
      </c>
      <c r="L22" s="215"/>
      <c r="M22" s="215"/>
      <c r="N22" s="28" t="s">
        <v>10</v>
      </c>
      <c r="O22" s="19">
        <f>'Other Deduction'!B15</f>
        <v>0</v>
      </c>
      <c r="P22" s="219"/>
      <c r="Q22" s="220"/>
    </row>
    <row r="23" spans="2:17" s="20" customFormat="1" ht="15" customHeight="1">
      <c r="B23" s="205"/>
      <c r="C23" s="8" t="s">
        <v>42</v>
      </c>
      <c r="D23" s="172" t="s">
        <v>74</v>
      </c>
      <c r="E23" s="172"/>
      <c r="F23" s="172"/>
      <c r="G23" s="172"/>
      <c r="H23" s="28" t="s">
        <v>10</v>
      </c>
      <c r="I23" s="18">
        <f>'Other Deduction'!B16</f>
        <v>0</v>
      </c>
      <c r="J23" s="8" t="s">
        <v>45</v>
      </c>
      <c r="K23" s="215" t="s">
        <v>99</v>
      </c>
      <c r="L23" s="215"/>
      <c r="M23" s="215"/>
      <c r="N23" s="28" t="s">
        <v>10</v>
      </c>
      <c r="O23" s="19">
        <f>'Other Deduction'!B12</f>
        <v>0</v>
      </c>
      <c r="P23" s="219"/>
      <c r="Q23" s="220"/>
    </row>
    <row r="24" spans="2:17" s="20" customFormat="1" ht="15" customHeight="1">
      <c r="B24" s="205"/>
      <c r="C24" s="8" t="s">
        <v>44</v>
      </c>
      <c r="D24" s="172" t="s">
        <v>75</v>
      </c>
      <c r="E24" s="172"/>
      <c r="F24" s="172"/>
      <c r="G24" s="172"/>
      <c r="H24" s="28" t="s">
        <v>10</v>
      </c>
      <c r="I24" s="18">
        <f>'Other Deduction'!B17</f>
        <v>0</v>
      </c>
      <c r="J24" s="8" t="s">
        <v>47</v>
      </c>
      <c r="K24" s="215" t="s">
        <v>102</v>
      </c>
      <c r="L24" s="215"/>
      <c r="M24" s="215"/>
      <c r="N24" s="28" t="s">
        <v>10</v>
      </c>
      <c r="O24" s="18">
        <f>'Other Deduction'!E15</f>
        <v>0</v>
      </c>
      <c r="P24" s="219"/>
      <c r="Q24" s="220"/>
    </row>
    <row r="25" spans="2:17" s="20" customFormat="1" ht="15" customHeight="1">
      <c r="B25" s="205"/>
      <c r="C25" s="8" t="s">
        <v>46</v>
      </c>
      <c r="D25" s="172" t="s">
        <v>76</v>
      </c>
      <c r="E25" s="172"/>
      <c r="F25" s="172"/>
      <c r="G25" s="172"/>
      <c r="H25" s="28" t="s">
        <v>10</v>
      </c>
      <c r="I25" s="18">
        <f>IF('GA-55'!Z2="No",'GA-55'!O32,0)</f>
        <v>0</v>
      </c>
      <c r="J25" s="8" t="s">
        <v>49</v>
      </c>
      <c r="K25" s="215" t="s">
        <v>101</v>
      </c>
      <c r="L25" s="215"/>
      <c r="M25" s="215"/>
      <c r="N25" s="28" t="s">
        <v>10</v>
      </c>
      <c r="O25" s="18">
        <f>'Other Deduction'!E16</f>
        <v>0</v>
      </c>
      <c r="P25" s="219"/>
      <c r="Q25" s="220"/>
    </row>
    <row r="26" spans="2:17" s="20" customFormat="1" ht="15" customHeight="1">
      <c r="B26" s="205"/>
      <c r="C26" s="8" t="s">
        <v>48</v>
      </c>
      <c r="D26" s="189" t="s">
        <v>108</v>
      </c>
      <c r="E26" s="190"/>
      <c r="F26" s="190"/>
      <c r="G26" s="191"/>
      <c r="H26" s="28" t="s">
        <v>10</v>
      </c>
      <c r="I26" s="19">
        <f>'GA-55'!U12</f>
        <v>220</v>
      </c>
      <c r="J26" s="8" t="s">
        <v>51</v>
      </c>
      <c r="K26" s="192" t="s">
        <v>100</v>
      </c>
      <c r="L26" s="192"/>
      <c r="M26" s="192"/>
      <c r="N26" s="28" t="s">
        <v>10</v>
      </c>
      <c r="O26" s="18">
        <f>'Other Deduction'!B11</f>
        <v>0</v>
      </c>
      <c r="P26" s="219"/>
      <c r="Q26" s="220"/>
    </row>
    <row r="27" spans="2:17" s="20" customFormat="1" ht="15" customHeight="1">
      <c r="B27" s="205"/>
      <c r="C27" s="8" t="s">
        <v>50</v>
      </c>
      <c r="D27" s="172" t="s">
        <v>8</v>
      </c>
      <c r="E27" s="172"/>
      <c r="F27" s="172"/>
      <c r="G27" s="172"/>
      <c r="H27" s="28" t="s">
        <v>10</v>
      </c>
      <c r="I27" s="19">
        <f>'Other Deduction'!B13</f>
        <v>0</v>
      </c>
      <c r="J27" s="8" t="s">
        <v>140</v>
      </c>
      <c r="K27" s="192" t="s">
        <v>134</v>
      </c>
      <c r="L27" s="192"/>
      <c r="M27" s="192"/>
      <c r="N27" s="28" t="s">
        <v>10</v>
      </c>
      <c r="O27" s="18">
        <f>'Other Deduction'!E5</f>
        <v>0</v>
      </c>
      <c r="P27" s="219"/>
      <c r="Q27" s="220"/>
    </row>
    <row r="28" spans="2:17" s="20" customFormat="1" ht="15" customHeight="1">
      <c r="B28" s="205"/>
      <c r="C28" s="8" t="s">
        <v>52</v>
      </c>
      <c r="D28" s="172" t="s">
        <v>85</v>
      </c>
      <c r="E28" s="172"/>
      <c r="F28" s="172"/>
      <c r="G28" s="172"/>
      <c r="H28" s="28" t="s">
        <v>10</v>
      </c>
      <c r="I28" s="18">
        <f>'GA-55'!V32+'Other Deduction'!B8</f>
        <v>2400</v>
      </c>
      <c r="J28" s="8" t="s">
        <v>195</v>
      </c>
      <c r="K28" s="192" t="s">
        <v>141</v>
      </c>
      <c r="L28" s="192"/>
      <c r="M28" s="192"/>
      <c r="N28" s="78" t="s">
        <v>10</v>
      </c>
      <c r="O28" s="18">
        <f>'Other Deduction'!B18</f>
        <v>0</v>
      </c>
      <c r="P28" s="219"/>
      <c r="Q28" s="220"/>
    </row>
    <row r="29" spans="2:17" s="20" customFormat="1" ht="15" customHeight="1">
      <c r="B29" s="205"/>
      <c r="C29" s="8" t="s">
        <v>36</v>
      </c>
      <c r="D29" s="172" t="s">
        <v>76</v>
      </c>
      <c r="E29" s="172"/>
      <c r="F29" s="172"/>
      <c r="G29" s="172"/>
      <c r="H29" s="128" t="s">
        <v>10</v>
      </c>
      <c r="I29" s="18">
        <f>IF('GA-55'!Z2="yes",'GA-55'!Y32,0)</f>
        <v>5655</v>
      </c>
      <c r="J29" s="8" t="s">
        <v>197</v>
      </c>
      <c r="K29" s="224" t="s">
        <v>198</v>
      </c>
      <c r="L29" s="225"/>
      <c r="M29" s="226"/>
      <c r="N29" s="128"/>
      <c r="O29" s="129"/>
      <c r="P29" s="219"/>
      <c r="Q29" s="220"/>
    </row>
    <row r="30" spans="2:17" s="20" customFormat="1" ht="15" customHeight="1">
      <c r="B30" s="205"/>
      <c r="C30" s="216" t="s">
        <v>142</v>
      </c>
      <c r="D30" s="217"/>
      <c r="E30" s="217"/>
      <c r="F30" s="217"/>
      <c r="G30" s="217"/>
      <c r="H30" s="217"/>
      <c r="I30" s="217"/>
      <c r="J30" s="217"/>
      <c r="K30" s="217"/>
      <c r="L30" s="217"/>
      <c r="M30" s="218"/>
      <c r="N30" s="28" t="s">
        <v>10</v>
      </c>
      <c r="O30" s="21">
        <f>SUM(I20:I29)+SUM(O20:O29)</f>
        <v>86347</v>
      </c>
      <c r="P30" s="209"/>
      <c r="Q30" s="210"/>
    </row>
    <row r="31" spans="2:17" s="20" customFormat="1" ht="15" customHeight="1">
      <c r="B31" s="205"/>
      <c r="C31" s="201" t="s">
        <v>97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8" t="s">
        <v>10</v>
      </c>
      <c r="Q31" s="33">
        <f>IF(O30&lt;150001,ROUND(O30,0),150000)</f>
        <v>86347</v>
      </c>
    </row>
    <row r="32" spans="2:17" s="20" customFormat="1" ht="15" customHeight="1">
      <c r="B32" s="205"/>
      <c r="C32" s="221" t="s">
        <v>116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3"/>
      <c r="P32" s="53"/>
      <c r="Q32" s="85">
        <f>IF('GA-55'!Z2="Yes",'GA-55'!O32,0)</f>
        <v>42072</v>
      </c>
    </row>
    <row r="33" spans="2:17" s="20" customFormat="1" ht="15" customHeight="1">
      <c r="B33" s="205"/>
      <c r="C33" s="266" t="s">
        <v>115</v>
      </c>
      <c r="D33" s="267"/>
      <c r="E33" s="267"/>
      <c r="F33" s="267"/>
      <c r="G33" s="267"/>
      <c r="H33" s="267"/>
      <c r="I33" s="267"/>
      <c r="J33" s="267"/>
      <c r="K33" s="267"/>
      <c r="L33" s="267"/>
      <c r="M33" s="267"/>
      <c r="N33" s="267"/>
      <c r="O33" s="268"/>
      <c r="P33" s="28" t="s">
        <v>10</v>
      </c>
      <c r="Q33" s="34">
        <f>'Other Deduction'!E7</f>
        <v>0</v>
      </c>
    </row>
    <row r="34" spans="2:17" s="20" customFormat="1" ht="15" customHeight="1">
      <c r="B34" s="206"/>
      <c r="C34" s="201" t="s">
        <v>105</v>
      </c>
      <c r="D34" s="201"/>
      <c r="E34" s="201"/>
      <c r="F34" s="201"/>
      <c r="G34" s="201"/>
      <c r="H34" s="201"/>
      <c r="I34" s="201"/>
      <c r="J34" s="201"/>
      <c r="K34" s="201"/>
      <c r="L34" s="201"/>
      <c r="M34" s="201"/>
      <c r="N34" s="201"/>
      <c r="O34" s="201"/>
      <c r="P34" s="28" t="s">
        <v>10</v>
      </c>
      <c r="Q34" s="33">
        <f>SUM(Q31:Q33)</f>
        <v>128419</v>
      </c>
    </row>
    <row r="35" spans="2:17" s="20" customFormat="1" ht="15" customHeight="1">
      <c r="B35" s="204">
        <v>12</v>
      </c>
      <c r="C35" s="193" t="s">
        <v>114</v>
      </c>
      <c r="D35" s="193"/>
      <c r="E35" s="193"/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211"/>
    </row>
    <row r="36" spans="2:17" s="20" customFormat="1" ht="15" customHeight="1">
      <c r="B36" s="205"/>
      <c r="C36" s="263" t="s">
        <v>153</v>
      </c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5"/>
      <c r="P36" s="28" t="s">
        <v>10</v>
      </c>
      <c r="Q36" s="34">
        <f>'Other Deduction'!E8</f>
        <v>0</v>
      </c>
    </row>
    <row r="37" spans="2:17" s="20" customFormat="1" ht="15" customHeight="1">
      <c r="B37" s="205"/>
      <c r="C37" s="172" t="s">
        <v>154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28" t="s">
        <v>10</v>
      </c>
      <c r="Q37" s="34">
        <f>'Other Deduction'!E9</f>
        <v>0</v>
      </c>
    </row>
    <row r="38" spans="2:17" s="20" customFormat="1" ht="15" customHeight="1">
      <c r="B38" s="205"/>
      <c r="C38" s="172" t="s">
        <v>176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28" t="s">
        <v>10</v>
      </c>
      <c r="Q38" s="34">
        <f>'Other Deduction'!E10</f>
        <v>0</v>
      </c>
    </row>
    <row r="39" spans="2:17" s="20" customFormat="1" ht="15" customHeight="1">
      <c r="B39" s="205"/>
      <c r="C39" s="172" t="s">
        <v>126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28" t="s">
        <v>10</v>
      </c>
      <c r="Q39" s="34">
        <f>'Other Deduction'!E11</f>
        <v>0</v>
      </c>
    </row>
    <row r="40" spans="2:17" s="20" customFormat="1" ht="15" customHeight="1">
      <c r="B40" s="205"/>
      <c r="C40" s="172" t="s">
        <v>127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28" t="s">
        <v>10</v>
      </c>
      <c r="Q40" s="34">
        <f>'Other Deduction'!E12</f>
        <v>0</v>
      </c>
    </row>
    <row r="41" spans="2:17" s="20" customFormat="1" ht="15" customHeight="1">
      <c r="B41" s="205"/>
      <c r="C41" s="263" t="s">
        <v>128</v>
      </c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5"/>
      <c r="P41" s="28" t="s">
        <v>10</v>
      </c>
      <c r="Q41" s="34">
        <f>'Other Deduction'!E13</f>
        <v>0</v>
      </c>
    </row>
    <row r="42" spans="2:17" s="20" customFormat="1" ht="15" customHeight="1">
      <c r="B42" s="205"/>
      <c r="C42" s="189" t="s">
        <v>155</v>
      </c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1"/>
      <c r="P42" s="28" t="s">
        <v>10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05"/>
      <c r="C43" s="189" t="s">
        <v>103</v>
      </c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1"/>
      <c r="P43" s="54" t="s">
        <v>10</v>
      </c>
      <c r="Q43" s="34">
        <f>'Other Deduction'!E14</f>
        <v>0</v>
      </c>
    </row>
    <row r="44" spans="2:17" s="20" customFormat="1" ht="15" customHeight="1">
      <c r="B44" s="206"/>
      <c r="C44" s="201" t="s">
        <v>53</v>
      </c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28" t="s">
        <v>10</v>
      </c>
      <c r="Q44" s="35">
        <f>SUM(Q36:Q43)</f>
        <v>0</v>
      </c>
    </row>
    <row r="45" spans="2:17" s="20" customFormat="1" ht="15" customHeight="1">
      <c r="B45" s="32">
        <v>13</v>
      </c>
      <c r="C45" s="193" t="s">
        <v>110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28" t="s">
        <v>10</v>
      </c>
      <c r="Q45" s="34">
        <f>Q34+Q44</f>
        <v>128419</v>
      </c>
    </row>
    <row r="46" spans="2:17" s="20" customFormat="1" ht="15" customHeight="1">
      <c r="B46" s="32">
        <v>14</v>
      </c>
      <c r="C46" s="172" t="s">
        <v>63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28" t="s">
        <v>10</v>
      </c>
      <c r="Q46" s="34">
        <f>(Q17-Q45)</f>
        <v>384881</v>
      </c>
    </row>
    <row r="47" spans="2:17" s="20" customFormat="1">
      <c r="B47" s="32">
        <v>15</v>
      </c>
      <c r="C47" s="193" t="s">
        <v>144</v>
      </c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28" t="s">
        <v>10</v>
      </c>
      <c r="Q47" s="33">
        <f>ROUND(Q46,-1)</f>
        <v>384880</v>
      </c>
    </row>
    <row r="48" spans="2:17" s="20" customFormat="1" ht="15" customHeight="1">
      <c r="B48" s="204">
        <v>16</v>
      </c>
      <c r="C48" s="172" t="s">
        <v>54</v>
      </c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250"/>
    </row>
    <row r="49" spans="2:17" s="20" customFormat="1" ht="15" customHeight="1">
      <c r="B49" s="205"/>
      <c r="C49" s="251" t="s">
        <v>79</v>
      </c>
      <c r="D49" s="251"/>
      <c r="E49" s="251"/>
      <c r="F49" s="251"/>
      <c r="G49" s="251"/>
      <c r="H49" s="251" t="s">
        <v>92</v>
      </c>
      <c r="I49" s="251"/>
      <c r="J49" s="251"/>
      <c r="K49" s="251"/>
      <c r="L49" s="252" t="s">
        <v>109</v>
      </c>
      <c r="M49" s="253"/>
      <c r="N49" s="253"/>
      <c r="O49" s="254"/>
      <c r="P49" s="9"/>
      <c r="Q49" s="36"/>
    </row>
    <row r="50" spans="2:17" s="20" customFormat="1" ht="15" customHeight="1">
      <c r="B50" s="205"/>
      <c r="C50" s="229" t="s">
        <v>80</v>
      </c>
      <c r="D50" s="230"/>
      <c r="E50" s="231"/>
      <c r="F50" s="228" t="s">
        <v>55</v>
      </c>
      <c r="G50" s="228"/>
      <c r="H50" s="229" t="s">
        <v>93</v>
      </c>
      <c r="I50" s="230"/>
      <c r="J50" s="231"/>
      <c r="K50" s="27" t="s">
        <v>55</v>
      </c>
      <c r="L50" s="229"/>
      <c r="M50" s="230"/>
      <c r="N50" s="231"/>
      <c r="O50" s="70"/>
      <c r="P50" s="28" t="s">
        <v>10</v>
      </c>
      <c r="Q50" s="37">
        <v>0</v>
      </c>
    </row>
    <row r="51" spans="2:17" s="20" customFormat="1" ht="15" customHeight="1">
      <c r="B51" s="205"/>
      <c r="C51" s="229" t="s">
        <v>56</v>
      </c>
      <c r="D51" s="230"/>
      <c r="E51" s="231"/>
      <c r="F51" s="227">
        <v>0.05</v>
      </c>
      <c r="G51" s="228"/>
      <c r="H51" s="228" t="s">
        <v>94</v>
      </c>
      <c r="I51" s="228"/>
      <c r="J51" s="228"/>
      <c r="K51" s="26">
        <v>0.05</v>
      </c>
      <c r="L51" s="229" t="s">
        <v>81</v>
      </c>
      <c r="M51" s="230"/>
      <c r="N51" s="231"/>
      <c r="O51" s="70" t="s">
        <v>55</v>
      </c>
      <c r="P51" s="28" t="s">
        <v>10</v>
      </c>
      <c r="Q51" s="37">
        <f>ROUND(IF('GA-55'!P4="No",IF(Q47&lt;250001,0,IF(Q47&gt;500000,12500,((Q47-250000)*0.05))),IF(Q47&lt;300001,0,IF(Q47&gt;500000,10000,((Q47-300000)*0.05)))),0)</f>
        <v>6744</v>
      </c>
    </row>
    <row r="52" spans="2:17" s="20" customFormat="1" ht="15" customHeight="1">
      <c r="B52" s="205"/>
      <c r="C52" s="229" t="s">
        <v>57</v>
      </c>
      <c r="D52" s="230"/>
      <c r="E52" s="231"/>
      <c r="F52" s="227">
        <v>0.2</v>
      </c>
      <c r="G52" s="228"/>
      <c r="H52" s="228" t="s">
        <v>57</v>
      </c>
      <c r="I52" s="228"/>
      <c r="J52" s="228"/>
      <c r="K52" s="26">
        <v>0.2</v>
      </c>
      <c r="L52" s="229" t="s">
        <v>57</v>
      </c>
      <c r="M52" s="230"/>
      <c r="N52" s="231"/>
      <c r="O52" s="69">
        <v>0.2</v>
      </c>
      <c r="P52" s="28" t="s">
        <v>10</v>
      </c>
      <c r="Q52" s="37">
        <f>IF(Q47&lt;500001,0,IF(Q47&gt;1000000,100000,((Q47-500000)*0.2)))</f>
        <v>0</v>
      </c>
    </row>
    <row r="53" spans="2:17" s="20" customFormat="1" ht="15" customHeight="1">
      <c r="B53" s="205"/>
      <c r="C53" s="255" t="s">
        <v>77</v>
      </c>
      <c r="D53" s="256"/>
      <c r="E53" s="257"/>
      <c r="F53" s="227">
        <v>0.3</v>
      </c>
      <c r="G53" s="228"/>
      <c r="H53" s="228" t="s">
        <v>78</v>
      </c>
      <c r="I53" s="228"/>
      <c r="J53" s="228"/>
      <c r="K53" s="26">
        <v>0.3</v>
      </c>
      <c r="L53" s="229" t="s">
        <v>78</v>
      </c>
      <c r="M53" s="230"/>
      <c r="N53" s="231"/>
      <c r="O53" s="69">
        <v>0.3</v>
      </c>
      <c r="P53" s="28" t="s">
        <v>10</v>
      </c>
      <c r="Q53" s="37">
        <f>IF(Q47&lt;1000001,0,((Q47-1000000)*0.3))</f>
        <v>0</v>
      </c>
    </row>
    <row r="54" spans="2:17" s="20" customFormat="1" ht="15" customHeight="1">
      <c r="B54" s="205"/>
      <c r="C54" s="245" t="s">
        <v>64</v>
      </c>
      <c r="D54" s="246"/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7"/>
      <c r="P54" s="28" t="s">
        <v>10</v>
      </c>
      <c r="Q54" s="33">
        <f>SUM(Q50:Q53)</f>
        <v>6744</v>
      </c>
    </row>
    <row r="55" spans="2:17" s="20" customFormat="1" ht="15" customHeight="1">
      <c r="B55" s="205"/>
      <c r="C55" s="258" t="s">
        <v>156</v>
      </c>
      <c r="D55" s="259"/>
      <c r="E55" s="259"/>
      <c r="F55" s="259"/>
      <c r="G55" s="259"/>
      <c r="H55" s="259"/>
      <c r="I55" s="259"/>
      <c r="J55" s="259"/>
      <c r="K55" s="259"/>
      <c r="L55" s="259"/>
      <c r="M55" s="259"/>
      <c r="N55" s="259"/>
      <c r="O55" s="260"/>
      <c r="P55" s="43" t="s">
        <v>10</v>
      </c>
      <c r="Q55" s="34">
        <f>IF(Q47&gt;500000,0,IF(Q54&lt;12501,Q54,12500))</f>
        <v>6744</v>
      </c>
    </row>
    <row r="56" spans="2:17" s="20" customFormat="1" ht="15" customHeight="1">
      <c r="B56" s="205"/>
      <c r="C56" s="245" t="s">
        <v>95</v>
      </c>
      <c r="D56" s="246"/>
      <c r="E56" s="246"/>
      <c r="F56" s="246"/>
      <c r="G56" s="246"/>
      <c r="H56" s="246"/>
      <c r="I56" s="246"/>
      <c r="J56" s="246"/>
      <c r="K56" s="246"/>
      <c r="L56" s="246"/>
      <c r="M56" s="246"/>
      <c r="N56" s="246"/>
      <c r="O56" s="247"/>
      <c r="P56" s="43" t="s">
        <v>10</v>
      </c>
      <c r="Q56" s="33">
        <f>Q54-Q55</f>
        <v>0</v>
      </c>
    </row>
    <row r="57" spans="2:17" s="20" customFormat="1" ht="15" customHeight="1">
      <c r="B57" s="205"/>
      <c r="C57" s="248" t="s">
        <v>149</v>
      </c>
      <c r="D57" s="248"/>
      <c r="E57" s="248"/>
      <c r="F57" s="248"/>
      <c r="G57" s="248"/>
      <c r="H57" s="248"/>
      <c r="I57" s="248"/>
      <c r="J57" s="248"/>
      <c r="K57" s="248"/>
      <c r="L57" s="248"/>
      <c r="M57" s="248"/>
      <c r="N57" s="248"/>
      <c r="O57" s="248"/>
      <c r="P57" s="28" t="s">
        <v>10</v>
      </c>
      <c r="Q57" s="34">
        <f>ROUND(Q56*0.04,0)</f>
        <v>0</v>
      </c>
    </row>
    <row r="58" spans="2:17" s="20" customFormat="1" ht="15" customHeight="1">
      <c r="B58" s="206"/>
      <c r="C58" s="249" t="s">
        <v>96</v>
      </c>
      <c r="D58" s="249"/>
      <c r="E58" s="249"/>
      <c r="F58" s="249"/>
      <c r="G58" s="249"/>
      <c r="H58" s="249"/>
      <c r="I58" s="249"/>
      <c r="J58" s="249"/>
      <c r="K58" s="249"/>
      <c r="L58" s="249"/>
      <c r="M58" s="249"/>
      <c r="N58" s="249"/>
      <c r="O58" s="249"/>
      <c r="P58" s="28" t="s">
        <v>10</v>
      </c>
      <c r="Q58" s="33">
        <f>SUM(Q56:Q57)</f>
        <v>0</v>
      </c>
    </row>
    <row r="59" spans="2:17" s="20" customFormat="1" ht="15" customHeight="1">
      <c r="B59" s="32">
        <v>17</v>
      </c>
      <c r="C59" s="189" t="s">
        <v>65</v>
      </c>
      <c r="D59" s="190"/>
      <c r="E59" s="190"/>
      <c r="F59" s="190"/>
      <c r="G59" s="190"/>
      <c r="H59" s="190"/>
      <c r="I59" s="190"/>
      <c r="J59" s="190"/>
      <c r="K59" s="190"/>
      <c r="L59" s="190"/>
      <c r="M59" s="190"/>
      <c r="N59" s="190"/>
      <c r="O59" s="191"/>
      <c r="P59" s="28" t="s">
        <v>10</v>
      </c>
      <c r="Q59" s="34">
        <f>'Other Deduction'!E17</f>
        <v>0</v>
      </c>
    </row>
    <row r="60" spans="2:17" s="20" customFormat="1" ht="15" customHeight="1">
      <c r="B60" s="32">
        <v>18</v>
      </c>
      <c r="C60" s="193" t="s">
        <v>82</v>
      </c>
      <c r="D60" s="193"/>
      <c r="E60" s="193"/>
      <c r="F60" s="193"/>
      <c r="G60" s="193"/>
      <c r="H60" s="193"/>
      <c r="I60" s="193"/>
      <c r="J60" s="193"/>
      <c r="K60" s="193"/>
      <c r="L60" s="193"/>
      <c r="M60" s="193"/>
      <c r="N60" s="193"/>
      <c r="O60" s="193"/>
      <c r="P60" s="28" t="s">
        <v>10</v>
      </c>
      <c r="Q60" s="33">
        <f>Q58-Q59</f>
        <v>0</v>
      </c>
    </row>
    <row r="61" spans="2:17" ht="33.75" customHeight="1">
      <c r="B61" s="204">
        <v>19</v>
      </c>
      <c r="C61" s="240" t="s">
        <v>58</v>
      </c>
      <c r="D61" s="240"/>
      <c r="E61" s="241"/>
      <c r="F61" s="237" t="s">
        <v>172</v>
      </c>
      <c r="G61" s="237"/>
      <c r="H61" s="237"/>
      <c r="I61" s="237"/>
      <c r="J61" s="238" t="s">
        <v>173</v>
      </c>
      <c r="K61" s="239"/>
      <c r="L61" s="98" t="s">
        <v>174</v>
      </c>
      <c r="M61" s="238" t="s">
        <v>175</v>
      </c>
      <c r="N61" s="239"/>
      <c r="O61" s="71" t="s">
        <v>86</v>
      </c>
      <c r="P61" s="238" t="s">
        <v>143</v>
      </c>
      <c r="Q61" s="262"/>
    </row>
    <row r="62" spans="2:17">
      <c r="B62" s="206"/>
      <c r="C62" s="242"/>
      <c r="D62" s="242"/>
      <c r="E62" s="243"/>
      <c r="F62" s="232">
        <f>SUM('GA-55'!X11:X17)</f>
        <v>0</v>
      </c>
      <c r="G62" s="232"/>
      <c r="H62" s="232"/>
      <c r="I62" s="232"/>
      <c r="J62" s="232">
        <f>SUM('GA-55'!X18:X20)</f>
        <v>0</v>
      </c>
      <c r="K62" s="232"/>
      <c r="L62" s="25">
        <f>'GA-55'!X21</f>
        <v>0</v>
      </c>
      <c r="M62" s="232">
        <f>'GA-55'!X22</f>
        <v>0</v>
      </c>
      <c r="N62" s="232"/>
      <c r="O62" s="72">
        <f>SUM('GA-55'!X23:X31)+'Other Deduction'!E18</f>
        <v>0</v>
      </c>
      <c r="P62" s="233">
        <f>F62+J62+L62+M62+O62</f>
        <v>0</v>
      </c>
      <c r="Q62" s="234"/>
    </row>
    <row r="63" spans="2:17" ht="16" thickBot="1">
      <c r="B63" s="235" t="str">
        <f>IF(Q60&gt;P62,"Income Tax Payable",IF(Q60&lt;P62,"Income Tax Refundable","Income Tax Payble/Refundable"))</f>
        <v>Income Tax Payble/Refundable</v>
      </c>
      <c r="C63" s="236"/>
      <c r="D63" s="236"/>
      <c r="E63" s="236"/>
      <c r="F63" s="236"/>
      <c r="G63" s="236"/>
      <c r="H63" s="236"/>
      <c r="I63" s="236"/>
      <c r="J63" s="236"/>
      <c r="K63" s="236"/>
      <c r="L63" s="236"/>
      <c r="M63" s="236"/>
      <c r="N63" s="236"/>
      <c r="O63" s="236"/>
      <c r="P63" s="38" t="s">
        <v>10</v>
      </c>
      <c r="Q63" s="39">
        <f>IF(Q60&gt;P62,Q60-P62,P62-Q60)</f>
        <v>0</v>
      </c>
    </row>
    <row r="64" spans="2:17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5"/>
      <c r="Q64" s="46"/>
    </row>
    <row r="65" spans="1:18" ht="16.5">
      <c r="B65" s="10"/>
      <c r="C65" s="11"/>
      <c r="D65" s="11"/>
      <c r="E65" s="47" t="s">
        <v>111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3" customFormat="1" ht="15.75" customHeight="1">
      <c r="B67" s="74"/>
      <c r="C67" s="261"/>
      <c r="D67" s="261"/>
      <c r="E67" s="261"/>
      <c r="F67" s="261"/>
      <c r="G67" s="261"/>
      <c r="H67" s="261"/>
      <c r="I67" s="261"/>
      <c r="J67" s="261"/>
      <c r="K67" s="261"/>
      <c r="L67" s="261"/>
      <c r="M67" s="261"/>
      <c r="N67" s="261"/>
      <c r="O67" s="261"/>
      <c r="P67" s="261"/>
      <c r="Q67" s="261"/>
    </row>
    <row r="68" spans="1:18" s="73" customFormat="1" ht="15.75" hidden="1" customHeight="1">
      <c r="B68" s="75"/>
      <c r="C68" s="261"/>
      <c r="D68" s="261"/>
      <c r="E68" s="261"/>
      <c r="F68" s="261"/>
      <c r="G68" s="261"/>
      <c r="H68" s="261"/>
      <c r="I68" s="261"/>
      <c r="J68" s="261"/>
      <c r="K68" s="261"/>
      <c r="L68" s="261"/>
      <c r="M68" s="261"/>
      <c r="N68" s="261"/>
      <c r="O68" s="261"/>
      <c r="P68" s="261"/>
      <c r="Q68" s="261"/>
    </row>
    <row r="69" spans="1:18" s="73" customFormat="1" ht="24" hidden="1" customHeight="1">
      <c r="B69" s="74"/>
      <c r="C69" s="261"/>
      <c r="D69" s="261"/>
      <c r="E69" s="261"/>
      <c r="F69" s="261"/>
      <c r="G69" s="261"/>
      <c r="H69" s="261"/>
      <c r="I69" s="261"/>
      <c r="J69" s="261"/>
      <c r="K69" s="261"/>
      <c r="L69" s="261"/>
      <c r="M69" s="261"/>
      <c r="N69" s="261"/>
      <c r="O69" s="261"/>
      <c r="P69" s="261"/>
      <c r="Q69" s="261"/>
    </row>
    <row r="70" spans="1:18" s="73" customFormat="1" ht="15.75" hidden="1" customHeight="1">
      <c r="B70" s="74"/>
      <c r="C70" s="76"/>
      <c r="D70" s="76"/>
      <c r="E70" s="76"/>
      <c r="F70" s="76"/>
      <c r="G70" s="76"/>
      <c r="H70" s="76"/>
      <c r="I70" s="76"/>
      <c r="J70" s="76"/>
      <c r="K70" s="76"/>
      <c r="L70" s="244"/>
      <c r="M70" s="244"/>
      <c r="N70" s="244"/>
      <c r="O70" s="244"/>
      <c r="P70" s="244"/>
      <c r="Q70" s="244"/>
    </row>
    <row r="71" spans="1:18" s="73" customFormat="1" ht="15.75" hidden="1" customHeight="1">
      <c r="B71" s="74"/>
      <c r="C71" s="76"/>
      <c r="D71" s="76"/>
      <c r="E71" s="76"/>
      <c r="F71" s="76"/>
      <c r="G71" s="76"/>
      <c r="H71" s="76"/>
      <c r="I71" s="76"/>
      <c r="J71" s="76"/>
      <c r="K71" s="76"/>
      <c r="L71" s="244"/>
      <c r="M71" s="244"/>
      <c r="N71" s="244"/>
      <c r="O71" s="244"/>
      <c r="P71" s="244"/>
      <c r="Q71" s="244"/>
    </row>
    <row r="72" spans="1:18" s="73" customFormat="1" ht="15.75" hidden="1" customHeight="1">
      <c r="B72" s="74"/>
      <c r="C72" s="76"/>
      <c r="D72" s="76"/>
      <c r="E72" s="76"/>
      <c r="F72" s="76"/>
      <c r="G72" s="76"/>
      <c r="H72" s="76"/>
      <c r="I72" s="76"/>
      <c r="J72" s="76"/>
      <c r="K72" s="76"/>
      <c r="L72" s="244"/>
      <c r="M72" s="244"/>
      <c r="N72" s="244"/>
      <c r="O72" s="244"/>
      <c r="P72" s="244"/>
      <c r="Q72" s="244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44"/>
      <c r="M73" s="244"/>
      <c r="N73" s="244"/>
      <c r="O73" s="244"/>
      <c r="P73" s="244"/>
      <c r="Q73" s="244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44"/>
      <c r="M74" s="244"/>
      <c r="N74" s="244"/>
      <c r="O74" s="244"/>
      <c r="P74" s="244"/>
      <c r="Q74" s="244"/>
    </row>
    <row r="75" spans="1:18" s="73" customFormat="1" hidden="1">
      <c r="B75" s="75"/>
      <c r="C75" s="77"/>
      <c r="D75" s="184"/>
      <c r="E75" s="184"/>
      <c r="F75" s="184"/>
      <c r="G75" s="184"/>
      <c r="H75" s="184"/>
      <c r="I75" s="184"/>
      <c r="J75" s="184"/>
      <c r="K75" s="77"/>
      <c r="L75" s="244"/>
      <c r="M75" s="244"/>
      <c r="N75" s="244"/>
      <c r="O75" s="244"/>
      <c r="P75" s="244"/>
      <c r="Q75" s="244"/>
    </row>
    <row r="76" spans="1:18" s="73" customFormat="1" hidden="1">
      <c r="B76" s="75"/>
      <c r="C76" s="77"/>
      <c r="D76" s="77"/>
      <c r="E76" s="77"/>
      <c r="F76" s="77"/>
      <c r="G76" s="77"/>
      <c r="H76" s="77"/>
      <c r="I76" s="77"/>
      <c r="J76" s="77"/>
      <c r="K76" s="77"/>
      <c r="L76" s="244"/>
      <c r="M76" s="244"/>
      <c r="N76" s="244"/>
      <c r="O76" s="244"/>
      <c r="P76" s="244"/>
      <c r="Q76" s="244"/>
    </row>
    <row r="77" spans="1:18" hidden="1">
      <c r="A77" s="64"/>
      <c r="B77" s="65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7"/>
      <c r="Q77" s="68"/>
      <c r="R77" s="64"/>
    </row>
    <row r="78" spans="1:18" hidden="1">
      <c r="A78" s="64"/>
      <c r="B78" s="65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7"/>
      <c r="Q78" s="68"/>
      <c r="R78" s="64"/>
    </row>
    <row r="79" spans="1:18" hidden="1">
      <c r="A79" s="64"/>
      <c r="B79" s="65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7"/>
      <c r="Q79" s="68"/>
      <c r="R79" s="64"/>
    </row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2"/>
  <sheetViews>
    <sheetView showGridLines="0" workbookViewId="0">
      <selection activeCell="I27" sqref="I27"/>
    </sheetView>
  </sheetViews>
  <sheetFormatPr defaultColWidth="0" defaultRowHeight="15.65" customHeight="1" zeroHeight="1"/>
  <cols>
    <col min="1" max="1" width="3" customWidth="1" collapsed="1"/>
    <col min="2" max="2" width="4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5.1796875" style="14" customWidth="1" collapsed="1"/>
    <col min="8" max="8" width="3.26953125" style="14" customWidth="1" collapsed="1"/>
    <col min="9" max="9" width="10.54296875" style="14" customWidth="1" collapsed="1"/>
    <col min="10" max="10" width="5.1796875" style="14" customWidth="1" collapsed="1"/>
    <col min="11" max="11" width="10.26953125" style="14" customWidth="1" collapsed="1"/>
    <col min="12" max="12" width="11.453125" style="14" customWidth="1" collapsed="1"/>
    <col min="13" max="13" width="9.453125" style="14" customWidth="1" collapsed="1"/>
    <col min="14" max="14" width="3.81640625" style="14" customWidth="1" collapsed="1"/>
    <col min="15" max="15" width="11.81640625" style="14" customWidth="1" collapsed="1"/>
    <col min="16" max="16" width="3.54296875" style="16" customWidth="1" collapsed="1"/>
    <col min="17" max="17" width="16.179687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194" t="str">
        <f>'GA-55'!C6</f>
        <v>GOVT SR. SEC SCHOOL DILOD HATHI, ATRU BARAN</v>
      </c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</row>
    <row r="2" spans="2:17" s="20" customFormat="1" ht="21" thickBot="1">
      <c r="B2" s="278" t="s">
        <v>184</v>
      </c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</row>
    <row r="3" spans="2:17" s="20" customFormat="1" ht="15" customHeight="1">
      <c r="B3" s="40">
        <v>1</v>
      </c>
      <c r="C3" s="196" t="s">
        <v>9</v>
      </c>
      <c r="D3" s="197"/>
      <c r="E3" s="202" t="str">
        <f>'GA-55'!D8</f>
        <v>PARMANAND MEGHWAL</v>
      </c>
      <c r="F3" s="202"/>
      <c r="G3" s="202"/>
      <c r="H3" s="202"/>
      <c r="I3" s="202"/>
      <c r="J3" s="202"/>
      <c r="K3" s="41" t="s">
        <v>27</v>
      </c>
      <c r="L3" s="203" t="str">
        <f>'GA-55'!K8</f>
        <v>SR TEACHER</v>
      </c>
      <c r="M3" s="203"/>
      <c r="N3" s="203"/>
      <c r="O3" s="42" t="s">
        <v>26</v>
      </c>
      <c r="P3" s="198" t="str">
        <f>IF('GA-55'!P8="","",'GA-55'!P8)</f>
        <v>ASQPM6311G</v>
      </c>
      <c r="Q3" s="199"/>
    </row>
    <row r="4" spans="2:17" s="20" customFormat="1" ht="15" customHeight="1">
      <c r="B4" s="32">
        <v>2</v>
      </c>
      <c r="C4" s="200" t="s">
        <v>171</v>
      </c>
      <c r="D4" s="200"/>
      <c r="E4" s="172"/>
      <c r="F4" s="172"/>
      <c r="G4" s="172"/>
      <c r="H4" s="172"/>
      <c r="I4" s="172"/>
      <c r="J4" s="172"/>
      <c r="K4" s="200"/>
      <c r="L4" s="172"/>
      <c r="M4" s="172"/>
      <c r="N4" s="172"/>
      <c r="O4" s="200"/>
      <c r="P4" s="118" t="s">
        <v>10</v>
      </c>
      <c r="Q4" s="33">
        <f>IF('GA-55'!Z2="No",'GA-55'!N32,('GA-55'!N32+'GA-55'!O32))</f>
        <v>563300</v>
      </c>
    </row>
    <row r="5" spans="2:17" s="20" customFormat="1" ht="15" customHeight="1">
      <c r="B5" s="32">
        <v>3</v>
      </c>
      <c r="C5" s="172" t="s">
        <v>112</v>
      </c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18" t="s">
        <v>10</v>
      </c>
      <c r="Q5" s="34">
        <v>0</v>
      </c>
    </row>
    <row r="6" spans="2:17" s="20" customFormat="1" ht="15" customHeight="1">
      <c r="B6" s="32">
        <v>4</v>
      </c>
      <c r="C6" s="201" t="s">
        <v>28</v>
      </c>
      <c r="D6" s="201"/>
      <c r="E6" s="201"/>
      <c r="F6" s="201"/>
      <c r="G6" s="201"/>
      <c r="H6" s="201"/>
      <c r="I6" s="201"/>
      <c r="J6" s="201"/>
      <c r="K6" s="201"/>
      <c r="L6" s="201"/>
      <c r="M6" s="201"/>
      <c r="N6" s="201"/>
      <c r="O6" s="201"/>
      <c r="P6" s="118" t="s">
        <v>10</v>
      </c>
      <c r="Q6" s="34">
        <f>Q4-Q5</f>
        <v>563300</v>
      </c>
    </row>
    <row r="7" spans="2:17" s="20" customFormat="1" ht="15" customHeight="1">
      <c r="B7" s="204">
        <v>5</v>
      </c>
      <c r="C7" s="189" t="s">
        <v>69</v>
      </c>
      <c r="D7" s="190"/>
      <c r="E7" s="190"/>
      <c r="F7" s="190"/>
      <c r="G7" s="190"/>
      <c r="H7" s="190"/>
      <c r="I7" s="190"/>
      <c r="J7" s="190"/>
      <c r="K7" s="190"/>
      <c r="L7" s="190"/>
      <c r="M7" s="185">
        <f>'Other Deduction'!B4</f>
        <v>0</v>
      </c>
      <c r="N7" s="185"/>
      <c r="O7" s="185"/>
      <c r="P7" s="207"/>
      <c r="Q7" s="208"/>
    </row>
    <row r="8" spans="2:17" s="20" customFormat="1" ht="15" customHeight="1">
      <c r="B8" s="205"/>
      <c r="C8" s="189" t="s">
        <v>70</v>
      </c>
      <c r="D8" s="190"/>
      <c r="E8" s="190"/>
      <c r="F8" s="190"/>
      <c r="G8" s="190"/>
      <c r="H8" s="190"/>
      <c r="I8" s="190"/>
      <c r="J8" s="190"/>
      <c r="K8" s="190"/>
      <c r="L8" s="190"/>
      <c r="M8" s="185">
        <f>'Other Deduction'!B5</f>
        <v>0</v>
      </c>
      <c r="N8" s="185"/>
      <c r="O8" s="185"/>
      <c r="P8" s="209"/>
      <c r="Q8" s="210"/>
    </row>
    <row r="9" spans="2:17" s="20" customFormat="1" ht="15" customHeight="1">
      <c r="B9" s="206"/>
      <c r="C9" s="189" t="s">
        <v>166</v>
      </c>
      <c r="D9" s="190"/>
      <c r="E9" s="190"/>
      <c r="F9" s="190"/>
      <c r="G9" s="190"/>
      <c r="H9" s="190"/>
      <c r="I9" s="190"/>
      <c r="J9" s="190"/>
      <c r="K9" s="190"/>
      <c r="L9" s="190"/>
      <c r="M9" s="185">
        <v>0</v>
      </c>
      <c r="N9" s="185"/>
      <c r="O9" s="185"/>
      <c r="P9" s="118" t="s">
        <v>10</v>
      </c>
      <c r="Q9" s="34">
        <f>SUM(M7:O9)</f>
        <v>0</v>
      </c>
    </row>
    <row r="10" spans="2:17" s="20" customFormat="1" ht="15" customHeight="1">
      <c r="B10" s="32">
        <v>6</v>
      </c>
      <c r="C10" s="173" t="s">
        <v>11</v>
      </c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18" t="s">
        <v>10</v>
      </c>
      <c r="Q10" s="34">
        <f>Q6-Q9</f>
        <v>563300</v>
      </c>
    </row>
    <row r="11" spans="2:17" s="20" customFormat="1" ht="15" customHeight="1">
      <c r="B11" s="171">
        <v>7</v>
      </c>
      <c r="C11" s="172" t="s">
        <v>29</v>
      </c>
      <c r="D11" s="172"/>
      <c r="E11" s="172"/>
      <c r="F11" s="172"/>
      <c r="G11" s="172"/>
      <c r="H11" s="172"/>
      <c r="I11" s="172"/>
      <c r="J11" s="172"/>
      <c r="K11" s="173" t="s">
        <v>30</v>
      </c>
      <c r="L11" s="173"/>
      <c r="M11" s="185">
        <v>0</v>
      </c>
      <c r="N11" s="185"/>
      <c r="O11" s="185"/>
      <c r="P11" s="186"/>
      <c r="Q11" s="187"/>
    </row>
    <row r="12" spans="2:17" s="20" customFormat="1" ht="15" customHeight="1">
      <c r="B12" s="171"/>
      <c r="C12" s="180" t="s">
        <v>31</v>
      </c>
      <c r="D12" s="181"/>
      <c r="E12" s="177" t="s">
        <v>84</v>
      </c>
      <c r="F12" s="178"/>
      <c r="G12" s="179"/>
      <c r="H12" s="188" t="s">
        <v>12</v>
      </c>
      <c r="I12" s="188"/>
      <c r="J12" s="188"/>
      <c r="K12" s="173" t="s">
        <v>32</v>
      </c>
      <c r="L12" s="173"/>
      <c r="M12" s="173" t="s">
        <v>61</v>
      </c>
      <c r="N12" s="173"/>
      <c r="O12" s="173"/>
      <c r="P12" s="186"/>
      <c r="Q12" s="187"/>
    </row>
    <row r="13" spans="2:17" s="20" customFormat="1" ht="15" customHeight="1">
      <c r="B13" s="171"/>
      <c r="C13" s="182"/>
      <c r="D13" s="183"/>
      <c r="E13" s="174">
        <f>ROUND(M11*0.3,0)</f>
        <v>0</v>
      </c>
      <c r="F13" s="175"/>
      <c r="G13" s="176"/>
      <c r="H13" s="185">
        <v>0</v>
      </c>
      <c r="I13" s="185"/>
      <c r="J13" s="185"/>
      <c r="K13" s="185">
        <f>'Other Deduction'!B7</f>
        <v>0</v>
      </c>
      <c r="L13" s="185"/>
      <c r="M13" s="185">
        <f>E13+H13+K13</f>
        <v>0</v>
      </c>
      <c r="N13" s="185"/>
      <c r="O13" s="185"/>
      <c r="P13" s="186"/>
      <c r="Q13" s="187"/>
    </row>
    <row r="14" spans="2:17" s="20" customFormat="1" ht="15" customHeight="1">
      <c r="B14" s="32"/>
      <c r="C14" s="173" t="s">
        <v>33</v>
      </c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18" t="s">
        <v>10</v>
      </c>
      <c r="Q14" s="34">
        <f>M11-M13</f>
        <v>0</v>
      </c>
    </row>
    <row r="15" spans="2:17" s="20" customFormat="1" ht="15" customHeight="1">
      <c r="B15" s="32">
        <v>8</v>
      </c>
      <c r="C15" s="173" t="s">
        <v>62</v>
      </c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18" t="s">
        <v>10</v>
      </c>
      <c r="Q15" s="34">
        <f>Q10+Q14</f>
        <v>563300</v>
      </c>
    </row>
    <row r="16" spans="2:17" s="20" customFormat="1" ht="15" customHeight="1">
      <c r="B16" s="32">
        <v>9</v>
      </c>
      <c r="C16" s="172" t="s">
        <v>25</v>
      </c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18" t="s">
        <v>10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72" t="s">
        <v>34</v>
      </c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18" t="s">
        <v>10</v>
      </c>
      <c r="Q17" s="33">
        <f>Q15+Q16</f>
        <v>563300</v>
      </c>
    </row>
    <row r="18" spans="2:17" s="20" customFormat="1" ht="15" customHeight="1">
      <c r="B18" s="204">
        <v>11</v>
      </c>
      <c r="C18" s="193" t="s">
        <v>113</v>
      </c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211"/>
    </row>
    <row r="19" spans="2:17" s="20" customFormat="1" ht="15" customHeight="1">
      <c r="B19" s="205"/>
      <c r="C19" s="212" t="s">
        <v>98</v>
      </c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212"/>
      <c r="P19" s="212"/>
      <c r="Q19" s="213"/>
    </row>
    <row r="20" spans="2:17" s="20" customFormat="1" ht="15" customHeight="1">
      <c r="B20" s="205"/>
      <c r="C20" s="8" t="s">
        <v>35</v>
      </c>
      <c r="D20" s="172" t="s">
        <v>71</v>
      </c>
      <c r="E20" s="172"/>
      <c r="F20" s="172"/>
      <c r="G20" s="172"/>
      <c r="H20" s="118" t="s">
        <v>10</v>
      </c>
      <c r="I20" s="18">
        <f>'GA-55'!Q32</f>
        <v>36000</v>
      </c>
      <c r="J20" s="8" t="s">
        <v>38</v>
      </c>
      <c r="K20" s="214" t="s">
        <v>106</v>
      </c>
      <c r="L20" s="214"/>
      <c r="M20" s="214"/>
      <c r="N20" s="118" t="s">
        <v>10</v>
      </c>
      <c r="O20" s="86">
        <f>IF('GA-55'!Z2="Yes",'GA-55'!O32-Q33,0)</f>
        <v>42072</v>
      </c>
      <c r="P20" s="207"/>
      <c r="Q20" s="208"/>
    </row>
    <row r="21" spans="2:17" s="20" customFormat="1" ht="15" customHeight="1">
      <c r="B21" s="205"/>
      <c r="C21" s="8" t="s">
        <v>37</v>
      </c>
      <c r="D21" s="172" t="s">
        <v>72</v>
      </c>
      <c r="E21" s="172"/>
      <c r="F21" s="172"/>
      <c r="G21" s="172"/>
      <c r="H21" s="118" t="s">
        <v>10</v>
      </c>
      <c r="I21" s="18">
        <f>'GA-55'!T32+'Other Deduction'!B10</f>
        <v>0</v>
      </c>
      <c r="J21" s="8" t="s">
        <v>41</v>
      </c>
      <c r="K21" s="215" t="s">
        <v>39</v>
      </c>
      <c r="L21" s="215"/>
      <c r="M21" s="215"/>
      <c r="N21" s="118" t="s">
        <v>10</v>
      </c>
      <c r="O21" s="18">
        <f>'Other Deduction'!E6</f>
        <v>0</v>
      </c>
      <c r="P21" s="219"/>
      <c r="Q21" s="220"/>
    </row>
    <row r="22" spans="2:17" s="20" customFormat="1" ht="15" customHeight="1">
      <c r="B22" s="205"/>
      <c r="C22" s="8" t="s">
        <v>40</v>
      </c>
      <c r="D22" s="172" t="s">
        <v>73</v>
      </c>
      <c r="E22" s="172"/>
      <c r="F22" s="172"/>
      <c r="G22" s="172"/>
      <c r="H22" s="118" t="s">
        <v>10</v>
      </c>
      <c r="I22" s="18">
        <f>'Other Deduction'!B14</f>
        <v>0</v>
      </c>
      <c r="J22" s="8" t="s">
        <v>43</v>
      </c>
      <c r="K22" s="215" t="s">
        <v>15</v>
      </c>
      <c r="L22" s="215"/>
      <c r="M22" s="215"/>
      <c r="N22" s="118" t="s">
        <v>10</v>
      </c>
      <c r="O22" s="19">
        <f>'Other Deduction'!B15</f>
        <v>0</v>
      </c>
      <c r="P22" s="219"/>
      <c r="Q22" s="220"/>
    </row>
    <row r="23" spans="2:17" s="20" customFormat="1" ht="15" customHeight="1">
      <c r="B23" s="205"/>
      <c r="C23" s="8" t="s">
        <v>42</v>
      </c>
      <c r="D23" s="172" t="s">
        <v>74</v>
      </c>
      <c r="E23" s="172"/>
      <c r="F23" s="172"/>
      <c r="G23" s="172"/>
      <c r="H23" s="118" t="s">
        <v>10</v>
      </c>
      <c r="I23" s="18">
        <f>'Other Deduction'!B16</f>
        <v>0</v>
      </c>
      <c r="J23" s="8" t="s">
        <v>45</v>
      </c>
      <c r="K23" s="215" t="s">
        <v>99</v>
      </c>
      <c r="L23" s="215"/>
      <c r="M23" s="215"/>
      <c r="N23" s="118" t="s">
        <v>10</v>
      </c>
      <c r="O23" s="19">
        <f>'Other Deduction'!B12</f>
        <v>0</v>
      </c>
      <c r="P23" s="219"/>
      <c r="Q23" s="220"/>
    </row>
    <row r="24" spans="2:17" s="20" customFormat="1" ht="15" customHeight="1">
      <c r="B24" s="205"/>
      <c r="C24" s="8" t="s">
        <v>44</v>
      </c>
      <c r="D24" s="172" t="s">
        <v>75</v>
      </c>
      <c r="E24" s="172"/>
      <c r="F24" s="172"/>
      <c r="G24" s="172"/>
      <c r="H24" s="118" t="s">
        <v>10</v>
      </c>
      <c r="I24" s="18">
        <f>'Other Deduction'!B17</f>
        <v>0</v>
      </c>
      <c r="J24" s="8" t="s">
        <v>47</v>
      </c>
      <c r="K24" s="215" t="s">
        <v>102</v>
      </c>
      <c r="L24" s="215"/>
      <c r="M24" s="215"/>
      <c r="N24" s="118" t="s">
        <v>10</v>
      </c>
      <c r="O24" s="18">
        <f>'Other Deduction'!E15</f>
        <v>0</v>
      </c>
      <c r="P24" s="219"/>
      <c r="Q24" s="220"/>
    </row>
    <row r="25" spans="2:17" s="20" customFormat="1" ht="15" customHeight="1">
      <c r="B25" s="205"/>
      <c r="C25" s="8" t="s">
        <v>46</v>
      </c>
      <c r="D25" s="172" t="s">
        <v>76</v>
      </c>
      <c r="E25" s="172"/>
      <c r="F25" s="172"/>
      <c r="G25" s="172"/>
      <c r="H25" s="118" t="s">
        <v>10</v>
      </c>
      <c r="I25" s="18">
        <f>IF('GA-55'!Z2="No",'GA-55'!O32,0)</f>
        <v>0</v>
      </c>
      <c r="J25" s="8" t="s">
        <v>49</v>
      </c>
      <c r="K25" s="215" t="s">
        <v>101</v>
      </c>
      <c r="L25" s="215"/>
      <c r="M25" s="215"/>
      <c r="N25" s="118" t="s">
        <v>10</v>
      </c>
      <c r="O25" s="18">
        <f>'Other Deduction'!E16</f>
        <v>0</v>
      </c>
      <c r="P25" s="219"/>
      <c r="Q25" s="220"/>
    </row>
    <row r="26" spans="2:17" s="20" customFormat="1" ht="15" customHeight="1">
      <c r="B26" s="205"/>
      <c r="C26" s="8" t="s">
        <v>48</v>
      </c>
      <c r="D26" s="189" t="s">
        <v>108</v>
      </c>
      <c r="E26" s="190"/>
      <c r="F26" s="190"/>
      <c r="G26" s="191"/>
      <c r="H26" s="118" t="s">
        <v>10</v>
      </c>
      <c r="I26" s="19">
        <f>'GA-55'!U12</f>
        <v>220</v>
      </c>
      <c r="J26" s="8" t="s">
        <v>51</v>
      </c>
      <c r="K26" s="192" t="s">
        <v>100</v>
      </c>
      <c r="L26" s="192"/>
      <c r="M26" s="192"/>
      <c r="N26" s="118" t="s">
        <v>10</v>
      </c>
      <c r="O26" s="18">
        <f>'Other Deduction'!B11</f>
        <v>0</v>
      </c>
      <c r="P26" s="219"/>
      <c r="Q26" s="220"/>
    </row>
    <row r="27" spans="2:17" s="20" customFormat="1" ht="15" customHeight="1">
      <c r="B27" s="205"/>
      <c r="C27" s="8" t="s">
        <v>50</v>
      </c>
      <c r="D27" s="172" t="s">
        <v>8</v>
      </c>
      <c r="E27" s="172"/>
      <c r="F27" s="172"/>
      <c r="G27" s="172"/>
      <c r="H27" s="118" t="s">
        <v>10</v>
      </c>
      <c r="I27" s="19">
        <f>'Other Deduction'!B13</f>
        <v>0</v>
      </c>
      <c r="J27" s="8" t="s">
        <v>140</v>
      </c>
      <c r="K27" s="192" t="s">
        <v>134</v>
      </c>
      <c r="L27" s="192"/>
      <c r="M27" s="192"/>
      <c r="N27" s="118" t="s">
        <v>10</v>
      </c>
      <c r="O27" s="18">
        <f>'Other Deduction'!E5</f>
        <v>0</v>
      </c>
      <c r="P27" s="219"/>
      <c r="Q27" s="220"/>
    </row>
    <row r="28" spans="2:17" s="20" customFormat="1" ht="15" customHeight="1">
      <c r="B28" s="205"/>
      <c r="C28" s="8" t="s">
        <v>52</v>
      </c>
      <c r="D28" s="172" t="s">
        <v>85</v>
      </c>
      <c r="E28" s="172"/>
      <c r="F28" s="172"/>
      <c r="G28" s="172"/>
      <c r="H28" s="118" t="s">
        <v>10</v>
      </c>
      <c r="I28" s="18">
        <f>'GA-55'!V32+'Other Deduction'!B8</f>
        <v>2400</v>
      </c>
      <c r="J28" s="8" t="s">
        <v>195</v>
      </c>
      <c r="K28" s="192" t="s">
        <v>141</v>
      </c>
      <c r="L28" s="192"/>
      <c r="M28" s="192"/>
      <c r="N28" s="118" t="s">
        <v>10</v>
      </c>
      <c r="O28" s="18">
        <f>'Other Deduction'!B18</f>
        <v>0</v>
      </c>
      <c r="P28" s="219"/>
      <c r="Q28" s="220"/>
    </row>
    <row r="29" spans="2:17" s="20" customFormat="1" ht="15" customHeight="1">
      <c r="B29" s="205"/>
      <c r="C29" s="8" t="s">
        <v>36</v>
      </c>
      <c r="D29" s="172" t="s">
        <v>76</v>
      </c>
      <c r="E29" s="172"/>
      <c r="F29" s="172"/>
      <c r="G29" s="172"/>
      <c r="H29" s="128" t="s">
        <v>10</v>
      </c>
      <c r="I29" s="18">
        <f>IF('GA-55'!Z2="yes",'GA-55'!Y32,0)</f>
        <v>5655</v>
      </c>
      <c r="J29" s="8" t="s">
        <v>197</v>
      </c>
      <c r="K29" s="269" t="s">
        <v>198</v>
      </c>
      <c r="L29" s="269"/>
      <c r="M29" s="269"/>
      <c r="N29" s="128"/>
      <c r="O29" s="18"/>
      <c r="P29" s="219"/>
      <c r="Q29" s="220"/>
    </row>
    <row r="30" spans="2:17" s="20" customFormat="1" ht="15" customHeight="1">
      <c r="B30" s="205"/>
      <c r="C30" s="216" t="s">
        <v>142</v>
      </c>
      <c r="D30" s="217"/>
      <c r="E30" s="217"/>
      <c r="F30" s="217"/>
      <c r="G30" s="217"/>
      <c r="H30" s="217"/>
      <c r="I30" s="217"/>
      <c r="J30" s="217"/>
      <c r="K30" s="217"/>
      <c r="L30" s="217"/>
      <c r="M30" s="218"/>
      <c r="N30" s="118" t="s">
        <v>10</v>
      </c>
      <c r="O30" s="21">
        <f>SUM(I20:I29)+SUM(O20:O29)</f>
        <v>86347</v>
      </c>
      <c r="P30" s="209"/>
      <c r="Q30" s="210"/>
    </row>
    <row r="31" spans="2:17" s="20" customFormat="1" ht="15" customHeight="1">
      <c r="B31" s="205"/>
      <c r="C31" s="201" t="s">
        <v>97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118" t="s">
        <v>10</v>
      </c>
      <c r="Q31" s="33">
        <v>0</v>
      </c>
    </row>
    <row r="32" spans="2:17" s="20" customFormat="1" ht="15" customHeight="1">
      <c r="B32" s="205"/>
      <c r="C32" s="221" t="s">
        <v>116</v>
      </c>
      <c r="D32" s="222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3"/>
      <c r="P32" s="118"/>
      <c r="Q32" s="85">
        <f>IF('GA-55'!Z2="Yes",'GA-55'!O32,0)</f>
        <v>42072</v>
      </c>
    </row>
    <row r="33" spans="2:17" s="20" customFormat="1" ht="15" customHeight="1">
      <c r="B33" s="205"/>
      <c r="C33" s="266" t="s">
        <v>115</v>
      </c>
      <c r="D33" s="267"/>
      <c r="E33" s="267"/>
      <c r="F33" s="267"/>
      <c r="G33" s="267"/>
      <c r="H33" s="267"/>
      <c r="I33" s="267"/>
      <c r="J33" s="267"/>
      <c r="K33" s="267"/>
      <c r="L33" s="267"/>
      <c r="M33" s="267"/>
      <c r="N33" s="267"/>
      <c r="O33" s="268"/>
      <c r="P33" s="118" t="s">
        <v>10</v>
      </c>
      <c r="Q33" s="34">
        <f>'Other Deduction'!E7</f>
        <v>0</v>
      </c>
    </row>
    <row r="34" spans="2:17" s="20" customFormat="1" ht="15" customHeight="1">
      <c r="B34" s="206"/>
      <c r="C34" s="201" t="s">
        <v>105</v>
      </c>
      <c r="D34" s="201"/>
      <c r="E34" s="201"/>
      <c r="F34" s="201"/>
      <c r="G34" s="201"/>
      <c r="H34" s="201"/>
      <c r="I34" s="201"/>
      <c r="J34" s="201"/>
      <c r="K34" s="201"/>
      <c r="L34" s="201"/>
      <c r="M34" s="201"/>
      <c r="N34" s="201"/>
      <c r="O34" s="201"/>
      <c r="P34" s="118" t="s">
        <v>10</v>
      </c>
      <c r="Q34" s="33">
        <f>SUM(Q31:Q33)</f>
        <v>42072</v>
      </c>
    </row>
    <row r="35" spans="2:17" s="20" customFormat="1" ht="15" customHeight="1">
      <c r="B35" s="204">
        <v>12</v>
      </c>
      <c r="C35" s="193" t="s">
        <v>114</v>
      </c>
      <c r="D35" s="193"/>
      <c r="E35" s="193"/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211"/>
    </row>
    <row r="36" spans="2:17" s="20" customFormat="1" ht="15" customHeight="1">
      <c r="B36" s="205"/>
      <c r="C36" s="263" t="s">
        <v>153</v>
      </c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5"/>
      <c r="P36" s="118" t="s">
        <v>10</v>
      </c>
      <c r="Q36" s="34">
        <f>'Other Deduction'!E8</f>
        <v>0</v>
      </c>
    </row>
    <row r="37" spans="2:17" s="20" customFormat="1" ht="15" customHeight="1">
      <c r="B37" s="205"/>
      <c r="C37" s="172" t="s">
        <v>154</v>
      </c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18" t="s">
        <v>10</v>
      </c>
      <c r="Q37" s="34">
        <f>'Other Deduction'!E9</f>
        <v>0</v>
      </c>
    </row>
    <row r="38" spans="2:17" s="20" customFormat="1" ht="15" customHeight="1">
      <c r="B38" s="205"/>
      <c r="C38" s="172" t="s">
        <v>176</v>
      </c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18" t="s">
        <v>10</v>
      </c>
      <c r="Q38" s="34">
        <f>'Other Deduction'!E10</f>
        <v>0</v>
      </c>
    </row>
    <row r="39" spans="2:17" s="20" customFormat="1" ht="15" customHeight="1">
      <c r="B39" s="205"/>
      <c r="C39" s="172" t="s">
        <v>126</v>
      </c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18" t="s">
        <v>10</v>
      </c>
      <c r="Q39" s="34">
        <f>'Other Deduction'!E11</f>
        <v>0</v>
      </c>
    </row>
    <row r="40" spans="2:17" s="20" customFormat="1" ht="15" customHeight="1">
      <c r="B40" s="205"/>
      <c r="C40" s="172" t="s">
        <v>127</v>
      </c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18" t="s">
        <v>10</v>
      </c>
      <c r="Q40" s="34">
        <f>'Other Deduction'!E12</f>
        <v>0</v>
      </c>
    </row>
    <row r="41" spans="2:17" s="20" customFormat="1" ht="15" customHeight="1">
      <c r="B41" s="205"/>
      <c r="C41" s="263" t="s">
        <v>128</v>
      </c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5"/>
      <c r="P41" s="118" t="s">
        <v>10</v>
      </c>
      <c r="Q41" s="34">
        <f>'Other Deduction'!E13</f>
        <v>0</v>
      </c>
    </row>
    <row r="42" spans="2:17" s="20" customFormat="1" ht="15" customHeight="1">
      <c r="B42" s="205"/>
      <c r="C42" s="189" t="s">
        <v>155</v>
      </c>
      <c r="D42" s="190"/>
      <c r="E42" s="190"/>
      <c r="F42" s="190"/>
      <c r="G42" s="190"/>
      <c r="H42" s="190"/>
      <c r="I42" s="190"/>
      <c r="J42" s="190"/>
      <c r="K42" s="190"/>
      <c r="L42" s="190"/>
      <c r="M42" s="190"/>
      <c r="N42" s="190"/>
      <c r="O42" s="191"/>
      <c r="P42" s="118" t="s">
        <v>10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205"/>
      <c r="C43" s="189" t="s">
        <v>103</v>
      </c>
      <c r="D43" s="190"/>
      <c r="E43" s="190"/>
      <c r="F43" s="190"/>
      <c r="G43" s="190"/>
      <c r="H43" s="190"/>
      <c r="I43" s="190"/>
      <c r="J43" s="190"/>
      <c r="K43" s="190"/>
      <c r="L43" s="190"/>
      <c r="M43" s="190"/>
      <c r="N43" s="190"/>
      <c r="O43" s="191"/>
      <c r="P43" s="118" t="s">
        <v>10</v>
      </c>
      <c r="Q43" s="34">
        <f>'Other Deduction'!E14</f>
        <v>0</v>
      </c>
    </row>
    <row r="44" spans="2:17" s="20" customFormat="1" ht="15" customHeight="1">
      <c r="B44" s="206"/>
      <c r="C44" s="201" t="s">
        <v>53</v>
      </c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118" t="s">
        <v>10</v>
      </c>
      <c r="Q44" s="35">
        <f>SUM(Q36:Q43)</f>
        <v>0</v>
      </c>
    </row>
    <row r="45" spans="2:17" s="20" customFormat="1" ht="15" customHeight="1">
      <c r="B45" s="32">
        <v>13</v>
      </c>
      <c r="C45" s="193" t="s">
        <v>110</v>
      </c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18" t="s">
        <v>10</v>
      </c>
      <c r="Q45" s="34">
        <f>Q34+Q44</f>
        <v>42072</v>
      </c>
    </row>
    <row r="46" spans="2:17" s="20" customFormat="1" ht="15" customHeight="1">
      <c r="B46" s="32">
        <v>14</v>
      </c>
      <c r="C46" s="172" t="s">
        <v>63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18" t="s">
        <v>10</v>
      </c>
      <c r="Q46" s="34">
        <f>(Q17-Q45)</f>
        <v>521228</v>
      </c>
    </row>
    <row r="47" spans="2:17" s="20" customFormat="1" ht="15.5">
      <c r="B47" s="32">
        <v>15</v>
      </c>
      <c r="C47" s="193" t="s">
        <v>144</v>
      </c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18" t="s">
        <v>10</v>
      </c>
      <c r="Q47" s="33">
        <f>ROUND(Q46,-1)</f>
        <v>521230</v>
      </c>
    </row>
    <row r="48" spans="2:17" s="20" customFormat="1" ht="15" customHeight="1">
      <c r="B48" s="204">
        <v>16</v>
      </c>
      <c r="C48" s="172" t="s">
        <v>54</v>
      </c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250"/>
    </row>
    <row r="49" spans="2:17" s="20" customFormat="1" ht="15" customHeight="1">
      <c r="B49" s="205"/>
      <c r="C49" s="251" t="s">
        <v>79</v>
      </c>
      <c r="D49" s="251"/>
      <c r="E49" s="251"/>
      <c r="F49" s="251"/>
      <c r="G49" s="251"/>
      <c r="H49" s="251" t="s">
        <v>92</v>
      </c>
      <c r="I49" s="251"/>
      <c r="J49" s="251"/>
      <c r="K49" s="251"/>
      <c r="L49" s="252" t="s">
        <v>109</v>
      </c>
      <c r="M49" s="253"/>
      <c r="N49" s="253"/>
      <c r="O49" s="254"/>
      <c r="P49" s="9"/>
      <c r="Q49" s="36"/>
    </row>
    <row r="50" spans="2:17" s="20" customFormat="1" ht="15" customHeight="1">
      <c r="B50" s="205"/>
      <c r="C50" s="272" t="s">
        <v>178</v>
      </c>
      <c r="D50" s="273"/>
      <c r="E50" s="274"/>
      <c r="F50" s="271" t="s">
        <v>55</v>
      </c>
      <c r="G50" s="271"/>
      <c r="H50" s="229" t="s">
        <v>93</v>
      </c>
      <c r="I50" s="230"/>
      <c r="J50" s="231"/>
      <c r="K50" s="120" t="s">
        <v>55</v>
      </c>
      <c r="L50" s="229" t="s">
        <v>93</v>
      </c>
      <c r="M50" s="230"/>
      <c r="N50" s="231"/>
      <c r="O50" s="120" t="s">
        <v>55</v>
      </c>
      <c r="P50" s="118" t="s">
        <v>10</v>
      </c>
      <c r="Q50" s="37">
        <v>0</v>
      </c>
    </row>
    <row r="51" spans="2:17" s="20" customFormat="1" ht="15" customHeight="1">
      <c r="B51" s="205"/>
      <c r="C51" s="272" t="s">
        <v>56</v>
      </c>
      <c r="D51" s="273"/>
      <c r="E51" s="274"/>
      <c r="F51" s="270">
        <v>0.05</v>
      </c>
      <c r="G51" s="271"/>
      <c r="H51" s="272" t="s">
        <v>56</v>
      </c>
      <c r="I51" s="273"/>
      <c r="J51" s="274"/>
      <c r="K51" s="119">
        <v>0.05</v>
      </c>
      <c r="L51" s="229" t="s">
        <v>81</v>
      </c>
      <c r="M51" s="230"/>
      <c r="N51" s="231"/>
      <c r="O51" s="119">
        <v>0.05</v>
      </c>
      <c r="P51" s="118" t="s">
        <v>10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205"/>
      <c r="C52" s="272" t="s">
        <v>179</v>
      </c>
      <c r="D52" s="273"/>
      <c r="E52" s="274"/>
      <c r="F52" s="270">
        <v>0.1</v>
      </c>
      <c r="G52" s="271"/>
      <c r="H52" s="272" t="s">
        <v>179</v>
      </c>
      <c r="I52" s="273"/>
      <c r="J52" s="274"/>
      <c r="K52" s="119">
        <v>0.1</v>
      </c>
      <c r="L52" s="272" t="s">
        <v>179</v>
      </c>
      <c r="M52" s="273"/>
      <c r="N52" s="274"/>
      <c r="O52" s="119">
        <v>0.1</v>
      </c>
      <c r="P52" s="118" t="s">
        <v>10</v>
      </c>
      <c r="Q52" s="37">
        <f>IF(Q47&lt;500001,0,IF(Q47&gt;750000,25000,((Q47-500000)*0.1)))</f>
        <v>2123</v>
      </c>
    </row>
    <row r="53" spans="2:17" s="20" customFormat="1" ht="15" customHeight="1">
      <c r="B53" s="205"/>
      <c r="C53" s="272" t="s">
        <v>180</v>
      </c>
      <c r="D53" s="273"/>
      <c r="E53" s="274"/>
      <c r="F53" s="270">
        <v>0.15</v>
      </c>
      <c r="G53" s="271"/>
      <c r="H53" s="272" t="s">
        <v>180</v>
      </c>
      <c r="I53" s="273"/>
      <c r="J53" s="274"/>
      <c r="K53" s="119">
        <v>0.15</v>
      </c>
      <c r="L53" s="272" t="s">
        <v>180</v>
      </c>
      <c r="M53" s="273"/>
      <c r="N53" s="274"/>
      <c r="O53" s="119">
        <v>0.15</v>
      </c>
      <c r="P53" s="118"/>
      <c r="Q53" s="37">
        <f>IF(Q47&lt;750001,0,IF(Q47&gt;1000000,37500,((Q47-750000)*0.15)))</f>
        <v>0</v>
      </c>
    </row>
    <row r="54" spans="2:17" s="20" customFormat="1" ht="15" customHeight="1">
      <c r="B54" s="205"/>
      <c r="C54" s="272" t="s">
        <v>181</v>
      </c>
      <c r="D54" s="273"/>
      <c r="E54" s="274"/>
      <c r="F54" s="270">
        <v>0.2</v>
      </c>
      <c r="G54" s="271"/>
      <c r="H54" s="272" t="s">
        <v>181</v>
      </c>
      <c r="I54" s="273"/>
      <c r="J54" s="274"/>
      <c r="K54" s="119">
        <v>0.2</v>
      </c>
      <c r="L54" s="272" t="s">
        <v>181</v>
      </c>
      <c r="M54" s="273"/>
      <c r="N54" s="274"/>
      <c r="O54" s="119">
        <v>0.2</v>
      </c>
      <c r="P54" s="118"/>
      <c r="Q54" s="37">
        <f>IF(Q47&lt;1000001,0,IF(Q47&gt;1250000,50000,((Q47-1000000)*0.2)))</f>
        <v>0</v>
      </c>
    </row>
    <row r="55" spans="2:17" s="20" customFormat="1" ht="15" customHeight="1">
      <c r="B55" s="205"/>
      <c r="C55" s="272" t="s">
        <v>182</v>
      </c>
      <c r="D55" s="273"/>
      <c r="E55" s="274"/>
      <c r="F55" s="270">
        <v>0.25</v>
      </c>
      <c r="G55" s="271"/>
      <c r="H55" s="272" t="s">
        <v>182</v>
      </c>
      <c r="I55" s="273"/>
      <c r="J55" s="274"/>
      <c r="K55" s="119">
        <v>0.25</v>
      </c>
      <c r="L55" s="272" t="s">
        <v>182</v>
      </c>
      <c r="M55" s="273"/>
      <c r="N55" s="274"/>
      <c r="O55" s="119">
        <v>0.25</v>
      </c>
      <c r="P55" s="118"/>
      <c r="Q55" s="37">
        <f>IF(Q47&lt;1250001,0,IF(Q47&gt;1500000,62500,((Q47-1250000)*0.25)))</f>
        <v>0</v>
      </c>
    </row>
    <row r="56" spans="2:17" s="20" customFormat="1" ht="15" customHeight="1">
      <c r="B56" s="205"/>
      <c r="C56" s="275" t="s">
        <v>183</v>
      </c>
      <c r="D56" s="276"/>
      <c r="E56" s="277"/>
      <c r="F56" s="270">
        <v>0.3</v>
      </c>
      <c r="G56" s="271"/>
      <c r="H56" s="275" t="s">
        <v>183</v>
      </c>
      <c r="I56" s="276"/>
      <c r="J56" s="277"/>
      <c r="K56" s="119">
        <v>0.3</v>
      </c>
      <c r="L56" s="275" t="s">
        <v>183</v>
      </c>
      <c r="M56" s="276"/>
      <c r="N56" s="277"/>
      <c r="O56" s="119">
        <v>0.3</v>
      </c>
      <c r="P56" s="118" t="s">
        <v>10</v>
      </c>
      <c r="Q56" s="37">
        <f>IF(Q47&lt;1500001,0,((Q47-1500000)*0.3))</f>
        <v>0</v>
      </c>
    </row>
    <row r="57" spans="2:17" s="20" customFormat="1" ht="15" customHeight="1">
      <c r="B57" s="205"/>
      <c r="C57" s="245" t="s">
        <v>64</v>
      </c>
      <c r="D57" s="246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7"/>
      <c r="P57" s="118" t="s">
        <v>10</v>
      </c>
      <c r="Q57" s="33">
        <f>SUM(Q50:Q56)</f>
        <v>14623</v>
      </c>
    </row>
    <row r="58" spans="2:17" s="20" customFormat="1" ht="15" customHeight="1">
      <c r="B58" s="205"/>
      <c r="C58" s="258" t="s">
        <v>156</v>
      </c>
      <c r="D58" s="259"/>
      <c r="E58" s="259"/>
      <c r="F58" s="259"/>
      <c r="G58" s="259"/>
      <c r="H58" s="259"/>
      <c r="I58" s="259"/>
      <c r="J58" s="259"/>
      <c r="K58" s="259"/>
      <c r="L58" s="259"/>
      <c r="M58" s="259"/>
      <c r="N58" s="259"/>
      <c r="O58" s="260"/>
      <c r="P58" s="118" t="s">
        <v>10</v>
      </c>
      <c r="Q58" s="34">
        <f>IF(Q47&gt;500000,0,IF(Q57&lt;12501,Q57,12500))</f>
        <v>0</v>
      </c>
    </row>
    <row r="59" spans="2:17" s="20" customFormat="1" ht="15" customHeight="1">
      <c r="B59" s="205"/>
      <c r="C59" s="245" t="s">
        <v>95</v>
      </c>
      <c r="D59" s="246"/>
      <c r="E59" s="246"/>
      <c r="F59" s="246"/>
      <c r="G59" s="246"/>
      <c r="H59" s="246"/>
      <c r="I59" s="246"/>
      <c r="J59" s="246"/>
      <c r="K59" s="246"/>
      <c r="L59" s="246"/>
      <c r="M59" s="246"/>
      <c r="N59" s="246"/>
      <c r="O59" s="247"/>
      <c r="P59" s="118" t="s">
        <v>10</v>
      </c>
      <c r="Q59" s="33">
        <f>Q57-Q58</f>
        <v>14623</v>
      </c>
    </row>
    <row r="60" spans="2:17" s="20" customFormat="1" ht="15" customHeight="1">
      <c r="B60" s="205"/>
      <c r="C60" s="248" t="s">
        <v>149</v>
      </c>
      <c r="D60" s="248"/>
      <c r="E60" s="248"/>
      <c r="F60" s="248"/>
      <c r="G60" s="248"/>
      <c r="H60" s="248"/>
      <c r="I60" s="248"/>
      <c r="J60" s="248"/>
      <c r="K60" s="248"/>
      <c r="L60" s="248"/>
      <c r="M60" s="248"/>
      <c r="N60" s="248"/>
      <c r="O60" s="248"/>
      <c r="P60" s="118" t="s">
        <v>10</v>
      </c>
      <c r="Q60" s="34">
        <f>ROUND(Q59*0.04,0)</f>
        <v>585</v>
      </c>
    </row>
    <row r="61" spans="2:17" s="20" customFormat="1" ht="15" customHeight="1">
      <c r="B61" s="206"/>
      <c r="C61" s="249" t="s">
        <v>96</v>
      </c>
      <c r="D61" s="249"/>
      <c r="E61" s="249"/>
      <c r="F61" s="249"/>
      <c r="G61" s="249"/>
      <c r="H61" s="249"/>
      <c r="I61" s="249"/>
      <c r="J61" s="249"/>
      <c r="K61" s="249"/>
      <c r="L61" s="249"/>
      <c r="M61" s="249"/>
      <c r="N61" s="249"/>
      <c r="O61" s="249"/>
      <c r="P61" s="118" t="s">
        <v>10</v>
      </c>
      <c r="Q61" s="33">
        <f>SUM(Q59:Q60)</f>
        <v>15208</v>
      </c>
    </row>
    <row r="62" spans="2:17" s="20" customFormat="1" ht="15" customHeight="1">
      <c r="B62" s="32">
        <v>17</v>
      </c>
      <c r="C62" s="189" t="s">
        <v>65</v>
      </c>
      <c r="D62" s="190"/>
      <c r="E62" s="190"/>
      <c r="F62" s="190"/>
      <c r="G62" s="190"/>
      <c r="H62" s="190"/>
      <c r="I62" s="190"/>
      <c r="J62" s="190"/>
      <c r="K62" s="190"/>
      <c r="L62" s="190"/>
      <c r="M62" s="190"/>
      <c r="N62" s="190"/>
      <c r="O62" s="191"/>
      <c r="P62" s="118" t="s">
        <v>10</v>
      </c>
      <c r="Q62" s="34">
        <f>'Other Deduction'!E17</f>
        <v>0</v>
      </c>
    </row>
    <row r="63" spans="2:17" s="20" customFormat="1" ht="15" customHeight="1">
      <c r="B63" s="32">
        <v>18</v>
      </c>
      <c r="C63" s="193" t="s">
        <v>82</v>
      </c>
      <c r="D63" s="193"/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18" t="s">
        <v>10</v>
      </c>
      <c r="Q63" s="33">
        <f>Q61-Q62</f>
        <v>15208</v>
      </c>
    </row>
    <row r="64" spans="2:17" ht="33.75" customHeight="1">
      <c r="B64" s="204">
        <v>19</v>
      </c>
      <c r="C64" s="240" t="s">
        <v>58</v>
      </c>
      <c r="D64" s="240"/>
      <c r="E64" s="241"/>
      <c r="F64" s="237" t="s">
        <v>172</v>
      </c>
      <c r="G64" s="237"/>
      <c r="H64" s="237"/>
      <c r="I64" s="237"/>
      <c r="J64" s="238" t="s">
        <v>173</v>
      </c>
      <c r="K64" s="239"/>
      <c r="L64" s="121" t="s">
        <v>174</v>
      </c>
      <c r="M64" s="238" t="s">
        <v>175</v>
      </c>
      <c r="N64" s="239"/>
      <c r="O64" s="121" t="s">
        <v>86</v>
      </c>
      <c r="P64" s="238" t="s">
        <v>143</v>
      </c>
      <c r="Q64" s="262"/>
    </row>
    <row r="65" spans="1:18" ht="15.5">
      <c r="B65" s="206"/>
      <c r="C65" s="242"/>
      <c r="D65" s="242"/>
      <c r="E65" s="243"/>
      <c r="F65" s="232">
        <f>SUM('GA-55'!X11:X17)</f>
        <v>0</v>
      </c>
      <c r="G65" s="232"/>
      <c r="H65" s="232"/>
      <c r="I65" s="232"/>
      <c r="J65" s="232">
        <f>SUM('GA-55'!X18:X20)</f>
        <v>0</v>
      </c>
      <c r="K65" s="232"/>
      <c r="L65" s="25">
        <f>'GA-55'!X21</f>
        <v>0</v>
      </c>
      <c r="M65" s="232">
        <f>'GA-55'!X22</f>
        <v>0</v>
      </c>
      <c r="N65" s="232"/>
      <c r="O65" s="72">
        <f>SUM('GA-55'!X23:X31)+'Other Deduction'!E18</f>
        <v>0</v>
      </c>
      <c r="P65" s="233">
        <f>F65+J65+L65+M65+O65</f>
        <v>0</v>
      </c>
      <c r="Q65" s="234"/>
    </row>
    <row r="66" spans="1:18" ht="16" thickBot="1">
      <c r="B66" s="235" t="str">
        <f>IF(Q63&gt;P65,"Income Tax Payable",IF(Q63&lt;P65,"Income Tax Refundable","Income Tax Payble/Refundable"))</f>
        <v>Income Tax Payable</v>
      </c>
      <c r="C66" s="236"/>
      <c r="D66" s="236"/>
      <c r="E66" s="236"/>
      <c r="F66" s="236"/>
      <c r="G66" s="236"/>
      <c r="H66" s="236"/>
      <c r="I66" s="236"/>
      <c r="J66" s="236"/>
      <c r="K66" s="236"/>
      <c r="L66" s="236"/>
      <c r="M66" s="236"/>
      <c r="N66" s="236"/>
      <c r="O66" s="236"/>
      <c r="P66" s="38" t="s">
        <v>10</v>
      </c>
      <c r="Q66" s="39">
        <f>IF(Q63&gt;P65,Q63-P65,P65-Q63)</f>
        <v>15208</v>
      </c>
    </row>
    <row r="67" spans="1:18" ht="15.5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5"/>
      <c r="Q67" s="46"/>
    </row>
    <row r="68" spans="1:18" ht="16.5">
      <c r="B68" s="10"/>
      <c r="C68" s="11"/>
      <c r="D68" s="11"/>
      <c r="E68" s="47" t="s">
        <v>111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3" customFormat="1" ht="15.75" customHeight="1">
      <c r="B70" s="74"/>
      <c r="C70" s="261"/>
      <c r="D70" s="261"/>
      <c r="E70" s="261"/>
      <c r="F70" s="261"/>
      <c r="G70" s="261"/>
      <c r="H70" s="261"/>
      <c r="I70" s="261"/>
      <c r="J70" s="261"/>
      <c r="K70" s="261"/>
      <c r="L70" s="261"/>
      <c r="M70" s="261"/>
      <c r="N70" s="261"/>
      <c r="O70" s="261"/>
      <c r="P70" s="261"/>
      <c r="Q70" s="261"/>
    </row>
    <row r="71" spans="1:18" s="73" customFormat="1" ht="15.75" hidden="1" customHeight="1">
      <c r="B71" s="75"/>
      <c r="C71" s="261"/>
      <c r="D71" s="261"/>
      <c r="E71" s="261"/>
      <c r="F71" s="261"/>
      <c r="G71" s="261"/>
      <c r="H71" s="261"/>
      <c r="I71" s="261"/>
      <c r="J71" s="261"/>
      <c r="K71" s="261"/>
      <c r="L71" s="261"/>
      <c r="M71" s="261"/>
      <c r="N71" s="261"/>
      <c r="O71" s="261"/>
      <c r="P71" s="261"/>
      <c r="Q71" s="261"/>
    </row>
    <row r="72" spans="1:18" s="73" customFormat="1" ht="24" hidden="1" customHeight="1">
      <c r="B72" s="74"/>
      <c r="C72" s="261"/>
      <c r="D72" s="261"/>
      <c r="E72" s="261"/>
      <c r="F72" s="261"/>
      <c r="G72" s="261"/>
      <c r="H72" s="261"/>
      <c r="I72" s="261"/>
      <c r="J72" s="261"/>
      <c r="K72" s="261"/>
      <c r="L72" s="261"/>
      <c r="M72" s="261"/>
      <c r="N72" s="261"/>
      <c r="O72" s="261"/>
      <c r="P72" s="261"/>
      <c r="Q72" s="261"/>
    </row>
    <row r="73" spans="1:18" s="73" customFormat="1" ht="15.75" hidden="1" customHeight="1">
      <c r="B73" s="74"/>
      <c r="C73" s="76"/>
      <c r="D73" s="76"/>
      <c r="E73" s="76"/>
      <c r="F73" s="76"/>
      <c r="G73" s="76"/>
      <c r="H73" s="76"/>
      <c r="I73" s="76"/>
      <c r="J73" s="76"/>
      <c r="K73" s="76"/>
      <c r="L73" s="244"/>
      <c r="M73" s="244"/>
      <c r="N73" s="244"/>
      <c r="O73" s="244"/>
      <c r="P73" s="244"/>
      <c r="Q73" s="244"/>
    </row>
    <row r="74" spans="1:18" s="73" customFormat="1" ht="15.75" hidden="1" customHeight="1">
      <c r="B74" s="74"/>
      <c r="C74" s="76"/>
      <c r="D74" s="76"/>
      <c r="E74" s="76"/>
      <c r="F74" s="76"/>
      <c r="G74" s="76"/>
      <c r="H74" s="76"/>
      <c r="I74" s="76"/>
      <c r="J74" s="76"/>
      <c r="K74" s="76"/>
      <c r="L74" s="244"/>
      <c r="M74" s="244"/>
      <c r="N74" s="244"/>
      <c r="O74" s="244"/>
      <c r="P74" s="244"/>
      <c r="Q74" s="244"/>
    </row>
    <row r="75" spans="1:18" s="73" customFormat="1" ht="15.75" hidden="1" customHeight="1">
      <c r="B75" s="74"/>
      <c r="C75" s="76"/>
      <c r="D75" s="76"/>
      <c r="E75" s="76"/>
      <c r="F75" s="76"/>
      <c r="G75" s="76"/>
      <c r="H75" s="76"/>
      <c r="I75" s="76"/>
      <c r="J75" s="76"/>
      <c r="K75" s="76"/>
      <c r="L75" s="244"/>
      <c r="M75" s="244"/>
      <c r="N75" s="244"/>
      <c r="O75" s="244"/>
      <c r="P75" s="244"/>
      <c r="Q75" s="244"/>
    </row>
    <row r="76" spans="1:18" s="73" customFormat="1" ht="15.75" hidden="1" customHeight="1">
      <c r="B76" s="74"/>
      <c r="C76" s="76"/>
      <c r="D76" s="76"/>
      <c r="E76" s="76"/>
      <c r="F76" s="76"/>
      <c r="G76" s="76"/>
      <c r="H76" s="76"/>
      <c r="I76" s="76"/>
      <c r="J76" s="76"/>
      <c r="K76" s="76"/>
      <c r="L76" s="244"/>
      <c r="M76" s="244"/>
      <c r="N76" s="244"/>
      <c r="O76" s="244"/>
      <c r="P76" s="244"/>
      <c r="Q76" s="244"/>
    </row>
    <row r="77" spans="1:18" s="73" customFormat="1" ht="15.75" hidden="1" customHeight="1">
      <c r="B77" s="74"/>
      <c r="C77" s="76"/>
      <c r="D77" s="76"/>
      <c r="E77" s="76"/>
      <c r="F77" s="76"/>
      <c r="G77" s="76"/>
      <c r="H77" s="76"/>
      <c r="I77" s="76"/>
      <c r="J77" s="76"/>
      <c r="K77" s="76"/>
      <c r="L77" s="244"/>
      <c r="M77" s="244"/>
      <c r="N77" s="244"/>
      <c r="O77" s="244"/>
      <c r="P77" s="244"/>
      <c r="Q77" s="244"/>
    </row>
    <row r="78" spans="1:18" s="73" customFormat="1" ht="15.5" hidden="1">
      <c r="B78" s="75"/>
      <c r="C78" s="77"/>
      <c r="D78" s="184"/>
      <c r="E78" s="184"/>
      <c r="F78" s="184"/>
      <c r="G78" s="184"/>
      <c r="H78" s="184"/>
      <c r="I78" s="184"/>
      <c r="J78" s="184"/>
      <c r="K78" s="77"/>
      <c r="L78" s="244"/>
      <c r="M78" s="244"/>
      <c r="N78" s="244"/>
      <c r="O78" s="244"/>
      <c r="P78" s="244"/>
      <c r="Q78" s="244"/>
    </row>
    <row r="79" spans="1:18" s="73" customFormat="1" ht="15.5" hidden="1">
      <c r="B79" s="75"/>
      <c r="C79" s="77"/>
      <c r="D79" s="77"/>
      <c r="E79" s="77"/>
      <c r="F79" s="77"/>
      <c r="G79" s="77"/>
      <c r="H79" s="77"/>
      <c r="I79" s="77"/>
      <c r="J79" s="77"/>
      <c r="K79" s="77"/>
      <c r="L79" s="244"/>
      <c r="M79" s="244"/>
      <c r="N79" s="244"/>
      <c r="O79" s="244"/>
      <c r="P79" s="244"/>
      <c r="Q79" s="244"/>
    </row>
    <row r="80" spans="1:18" ht="15.5" hidden="1">
      <c r="A80" s="64"/>
      <c r="B80" s="65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7"/>
      <c r="Q80" s="68"/>
      <c r="R80" s="64"/>
    </row>
    <row r="81" spans="1:18" ht="15.5" hidden="1">
      <c r="A81" s="64"/>
      <c r="B81" s="65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7"/>
      <c r="Q81" s="68"/>
      <c r="R81" s="64"/>
    </row>
    <row r="82" spans="1:18" ht="15.5" hidden="1">
      <c r="A82" s="64"/>
      <c r="B82" s="65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7"/>
      <c r="Q82" s="68"/>
      <c r="R82" s="64"/>
    </row>
  </sheetData>
  <sheetProtection password="FC12" sheet="1" objects="1" scenarios="1"/>
  <mergeCells count="133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D22:G22"/>
    <mergeCell ref="K22:M22"/>
    <mergeCell ref="D23:G23"/>
    <mergeCell ref="K23:M23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C34:O3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D29:G29"/>
    <mergeCell ref="K29:M29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GA-55</vt:lpstr>
      <vt:lpstr>Other Deduction</vt:lpstr>
      <vt:lpstr>Tax Old Regime</vt:lpstr>
      <vt:lpstr>Tax New Regime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2021-12-10T09:19:03Z</cp:lastPrinted>
  <dcterms:created xsi:type="dcterms:W3CDTF">2013-12-06T08:14:36Z</dcterms:created>
  <dcterms:modified xsi:type="dcterms:W3CDTF">2021-12-10T09:20:40Z</dcterms:modified>
</cp:coreProperties>
</file>