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vilion\Desktop\New folder\"/>
    </mc:Choice>
  </mc:AlternateContent>
  <xr:revisionPtr revIDLastSave="0" documentId="8_{8F7FB600-0BEE-4DF4-89D3-D98B81013BBA}" xr6:coauthVersionLast="45" xr6:coauthVersionMax="45" xr10:uidLastSave="{00000000-0000-0000-0000-000000000000}"/>
  <workbookProtection workbookPassword="C96F" lockStructure="1"/>
  <bookViews>
    <workbookView xWindow="-120" yWindow="-120" windowWidth="20730" windowHeight="11310" xr2:uid="{00000000-000D-0000-FFFF-FFFF00000000}"/>
  </bookViews>
  <sheets>
    <sheet name="How To Use" sheetId="4" r:id="rId1"/>
    <sheet name="GA55A" sheetId="2" r:id="rId2"/>
    <sheet name="Other Deduction" sheetId="1" r:id="rId3"/>
    <sheet name="Computation" sheetId="3" r:id="rId4"/>
  </sheets>
  <definedNames>
    <definedName name="_tds1">#REF!</definedName>
    <definedName name="_tds2">#REF!</definedName>
    <definedName name="AIR.Code001">#REF!</definedName>
    <definedName name="AIR.Code002">#REF!</definedName>
    <definedName name="AIR.Code003">#REF!</definedName>
    <definedName name="AIR.Code004">#REF!</definedName>
    <definedName name="AIR.Code005">#REF!</definedName>
    <definedName name="AIR.Code006">#REF!</definedName>
    <definedName name="AIR.Code007">#REF!</definedName>
    <definedName name="AIR.Code008">#REF!</definedName>
    <definedName name="AIR.TaxExmpIntInc">#REF!</definedName>
    <definedName name="Bank1">#REF!</definedName>
    <definedName name="Bank10">#REF!</definedName>
    <definedName name="Bank11">#REF!</definedName>
    <definedName name="Bank12">#REF!</definedName>
    <definedName name="Bank2">#REF!</definedName>
    <definedName name="Bank3">#REF!</definedName>
    <definedName name="Bank4">#REF!</definedName>
    <definedName name="Bank5">#REF!</definedName>
    <definedName name="Bank6">#REF!</definedName>
    <definedName name="Bank6PCAR">#REF!</definedName>
    <definedName name="Bank7">#REF!</definedName>
    <definedName name="Bank8">#REF!</definedName>
    <definedName name="Bank9">#REF!</definedName>
    <definedName name="BankAccNo">#REF!</definedName>
    <definedName name="BankArrear">#REF!</definedName>
    <definedName name="BankArrear0">#REF!</definedName>
    <definedName name="BankArrear1">#REF!</definedName>
    <definedName name="BankArrear2">#REF!</definedName>
    <definedName name="BankArrear3">#REF!</definedName>
    <definedName name="BankBonus">#REF!</definedName>
    <definedName name="BankDA10">#REF!</definedName>
    <definedName name="BankDA5">#REF!</definedName>
    <definedName name="BankDA6">#REF!</definedName>
    <definedName name="BankDA8">#REF!</definedName>
    <definedName name="BankPL">#REF!</definedName>
    <definedName name="cmb_IncD.BankAccountType">#REF!</definedName>
    <definedName name="cmb_IncD.EcsRequired">#REF!</definedName>
    <definedName name="cmb_TDSal.StateCode">#REF!</definedName>
    <definedName name="cmb_TDSoth.StateCode">#REF!</definedName>
    <definedName name="i_general">#REF!</definedName>
    <definedName name="i_general2">#REF!</definedName>
    <definedName name="i_tds">#REF!</definedName>
    <definedName name="IncD.AdvanceTax">#REF!</definedName>
    <definedName name="IncD.AggregateIncome">#REF!</definedName>
    <definedName name="IncD.BalTaxPayable">#REF!</definedName>
    <definedName name="IncD.BankAccountNumber">#REF!</definedName>
    <definedName name="IncD.BankAccountType">#REF!</definedName>
    <definedName name="IncD.EcsRequired">#REF!</definedName>
    <definedName name="IncD.EducationCess">#REF!</definedName>
    <definedName name="IncD.FamPension">#REF!</definedName>
    <definedName name="IncD.GrossTaxLiability">#REF!</definedName>
    <definedName name="IncD.GrossTotIncome">#REF!</definedName>
    <definedName name="IncD.IncomeFromOS">#REF!</definedName>
    <definedName name="IncD.IncomeFromSal">#REF!</definedName>
    <definedName name="IncD.IndInterest">#REF!</definedName>
    <definedName name="IncD.IntrstPayUs234A">#REF!</definedName>
    <definedName name="IncD.IntrstPayUs234B">#REF!</definedName>
    <definedName name="IncD.IntrstPayUs234C">#REF!</definedName>
    <definedName name="IncD.MICRCode">#REF!</definedName>
    <definedName name="IncD.NetAgriculturalIncome">#REF!</definedName>
    <definedName name="IncD.NetTaxLiability">#REF!</definedName>
    <definedName name="IncD.RebateOnAgriInc">#REF!</definedName>
    <definedName name="IncD.RefundDue">#REF!</definedName>
    <definedName name="IncD.Section80C">#REF!</definedName>
    <definedName name="IncD.Section80CCC">#REF!</definedName>
    <definedName name="IncD.Section80CCD">#REF!</definedName>
    <definedName name="IncD.Section80D">#REF!</definedName>
    <definedName name="IncD.Section80DD">#REF!</definedName>
    <definedName name="IncD.Section80DDB">#REF!</definedName>
    <definedName name="IncD.Section80E">#REF!</definedName>
    <definedName name="IncD.Section80G">#REF!</definedName>
    <definedName name="IncD.Section80GG">#REF!</definedName>
    <definedName name="IncD.Section80GGA">#REF!</definedName>
    <definedName name="IncD.Section80GGC">#REF!</definedName>
    <definedName name="IncD.Section80U">#REF!</definedName>
    <definedName name="IncD.Section89">#REF!</definedName>
    <definedName name="IncD.Section90and91">#REF!</definedName>
    <definedName name="IncD.SelfAssessmentTax">#REF!</definedName>
    <definedName name="IncD.SurchargeOnTaxPayable">#REF!</definedName>
    <definedName name="IncD.TaxOnAggregateInc">#REF!</definedName>
    <definedName name="IncD.TDS">#REF!</definedName>
    <definedName name="IncD.TotalChapVIADeductions">#REF!</definedName>
    <definedName name="IncD.TotalIncome">#REF!</definedName>
    <definedName name="IncD.TotalIntrstPay">#REF!</definedName>
    <definedName name="IncD.TotalTaxesPaid">#REF!</definedName>
    <definedName name="IncD.TotalTaxPayable">#REF!</definedName>
    <definedName name="IncD.TotTaxPlusIntrstPay">#REF!</definedName>
    <definedName name="IT.Amt">#REF!</definedName>
    <definedName name="IT.FormulaOFS">#REF!</definedName>
    <definedName name="_xlnm.Print_Area" localSheetId="3">Computation!$B$1:$Q$66</definedName>
    <definedName name="_xlnm.Print_Area" localSheetId="1">GA55A!$C$6:$AC$40</definedName>
    <definedName name="Sex">'Other Deduction'!#REF!</definedName>
    <definedName name="sheet1.CityOrTownOrDistrict">#REF!</definedName>
    <definedName name="sheet1.DOB">#REF!</definedName>
    <definedName name="sheet1.EmployerCategory1">#REF!</definedName>
    <definedName name="sheet1.FirstName">#REF!</definedName>
    <definedName name="sheet1.Gender1">#REF!</definedName>
    <definedName name="sheet1.LocalityOrArea">#REF!</definedName>
    <definedName name="sheet1.MiddleName">#REF!</definedName>
    <definedName name="sheet1.newstcode">#REF!</definedName>
    <definedName name="sheet1.OrigRetFiledDate">#REF!</definedName>
    <definedName name="sheet1.PAN">#REF!</definedName>
    <definedName name="sheet1.PhoneNo">#REF!</definedName>
    <definedName name="sheet1.PinCode">#REF!</definedName>
    <definedName name="sheet1.ReceiptNo">#REF!</definedName>
    <definedName name="sheet1.ResidenceName">#REF!</definedName>
    <definedName name="sheet1.ResidenceNo">#REF!</definedName>
    <definedName name="sheet1.ResidentialStatus">#REF!</definedName>
    <definedName name="sheet1.ResidentialStatus1">#REF!</definedName>
    <definedName name="sheet1.ReturnFileSec">#REF!</definedName>
    <definedName name="sheet1.ReturnFileSec1">#REF!</definedName>
    <definedName name="sheet1.ReturnType">#REF!</definedName>
    <definedName name="sheet1.ReturnType1">#REF!</definedName>
    <definedName name="sheet1.RoadOrStreet">#REF!</definedName>
    <definedName name="sheet1.StateCode">#REF!</definedName>
    <definedName name="sheet1.StateCode1">#REF!</definedName>
    <definedName name="sheet1.Status">#REF!</definedName>
    <definedName name="sheet1.Status1">#REF!</definedName>
    <definedName name="sheet1.STDcode">#REF!</definedName>
    <definedName name="sheet1.SurNameOrOrgName">#REF!</definedName>
    <definedName name="sheet1.SwVersionNo">#REF!</definedName>
    <definedName name="TaxP.Amt">#REF!</definedName>
    <definedName name="TaxP.BSRCode">#REF!</definedName>
    <definedName name="TaxP.DateDep">#REF!</definedName>
    <definedName name="TaxP.NameOfBank">#REF!</definedName>
    <definedName name="TaxP.NameOfBranch">#REF!</definedName>
    <definedName name="TaxP.SrlNoOfChaln">#REF!</definedName>
    <definedName name="TDS_Sum">#REF!</definedName>
    <definedName name="TDS1.TotalTDSSal">#REF!</definedName>
    <definedName name="TDS2_sum">#REF!</definedName>
    <definedName name="TDSal.AddrDetail">#REF!</definedName>
    <definedName name="TDSal.CityOrTownOrDistrict">#REF!</definedName>
    <definedName name="TDSal.DeductUnderChapVIA">#REF!</definedName>
    <definedName name="TDSal.EmployerOrDeductorOrCollecterName">#REF!</definedName>
    <definedName name="TDSal.IncChrgSal">#REF!</definedName>
    <definedName name="TDSal.PinCode">#REF!</definedName>
    <definedName name="TDSal.StateCode">#REF!</definedName>
    <definedName name="TDSal.TAN">#REF!</definedName>
    <definedName name="TDSal.TaxPayIncluSurchEdnCes">#REF!</definedName>
    <definedName name="TDSal.TaxPayRefund">#REF!</definedName>
    <definedName name="TDSal.TotalTDSSal">#REF!</definedName>
    <definedName name="TDSoth.AddrDetail">#REF!</definedName>
    <definedName name="TDSoth.AmtPaid">#REF!</definedName>
    <definedName name="TDSoth.CityOrTownOrDistrict">#REF!</definedName>
    <definedName name="TDSoth.ClaimOutOfTotTDSOnAmtPaid">#REF!</definedName>
    <definedName name="TDSoth.DatePayCred">#REF!</definedName>
    <definedName name="TDSoth.EmployerOrDeductorOrCollecterName">#REF!</definedName>
    <definedName name="TDSoth.PinCode">#REF!</definedName>
    <definedName name="TDSoth.StateCode">#REF!</definedName>
    <definedName name="TDSoth.TAN">#REF!</definedName>
    <definedName name="TDSoth.TotTDSOnAmtPaid">#REF!</definedName>
    <definedName name="tp">#REF!</definedName>
    <definedName name="Ver.AssesseeVerName">#REF!</definedName>
    <definedName name="Ver.Date">#REF!</definedName>
    <definedName name="Ver.FatherName">#REF!</definedName>
    <definedName name="Ver.IdentificationNoOfTRP">#REF!</definedName>
    <definedName name="Ver.NameOfTRP">#REF!</definedName>
    <definedName name="Ver.Place">#REF!</definedName>
    <definedName name="Ver.ReImbFrmGov">#REF!</definedName>
    <definedName name="Z_01E6FF9C_BB30_4C32_9D09_6DB93F11503E_.wvu.Cols" localSheetId="3" hidden="1">Computation!$S:$XFD</definedName>
    <definedName name="Z_01E6FF9C_BB30_4C32_9D09_6DB93F11503E_.wvu.Cols" localSheetId="1" hidden="1">GA55A!$AE:$XFD</definedName>
    <definedName name="Z_01E6FF9C_BB30_4C32_9D09_6DB93F11503E_.wvu.Cols" localSheetId="2" hidden="1">'Other Deduction'!$G:$XFD</definedName>
    <definedName name="Z_01E6FF9C_BB30_4C32_9D09_6DB93F11503E_.wvu.PrintArea" localSheetId="3" hidden="1">Computation!$B$1:$Q$70</definedName>
    <definedName name="Z_01E6FF9C_BB30_4C32_9D09_6DB93F11503E_.wvu.PrintArea" localSheetId="1" hidden="1">GA55A!$C$6:$AC$38</definedName>
    <definedName name="Z_01E6FF9C_BB30_4C32_9D09_6DB93F11503E_.wvu.Rows" localSheetId="3" hidden="1">Computation!$76:$1048576,Computation!$72:$75</definedName>
    <definedName name="Z_01E6FF9C_BB30_4C32_9D09_6DB93F11503E_.wvu.Rows" localSheetId="1" hidden="1">GA55A!$951:$1048576,GA55A!$39:$950</definedName>
    <definedName name="Z_01E6FF9C_BB30_4C32_9D09_6DB93F11503E_.wvu.Rows" localSheetId="2" hidden="1">'Other Deduction'!$562:$1048576,'Other Deduction'!$24:$561</definedName>
    <definedName name="Z_483AFC7C_A53B_4837_A853_31CBC6C9ED1B_.wvu.Cols" localSheetId="3" hidden="1">Computation!$S:$XFD</definedName>
    <definedName name="Z_483AFC7C_A53B_4837_A853_31CBC6C9ED1B_.wvu.Cols" localSheetId="1" hidden="1">GA55A!$AE:$XFD</definedName>
    <definedName name="Z_483AFC7C_A53B_4837_A853_31CBC6C9ED1B_.wvu.Cols" localSheetId="2" hidden="1">'Other Deduction'!$G:$XFD</definedName>
    <definedName name="Z_483AFC7C_A53B_4837_A853_31CBC6C9ED1B_.wvu.PrintArea" localSheetId="3" hidden="1">Computation!$B$1:$Q$70</definedName>
    <definedName name="Z_483AFC7C_A53B_4837_A853_31CBC6C9ED1B_.wvu.PrintArea" localSheetId="1" hidden="1">GA55A!$C$6:$AC$38</definedName>
    <definedName name="Z_483AFC7C_A53B_4837_A853_31CBC6C9ED1B_.wvu.Rows" localSheetId="3" hidden="1">Computation!$76:$1048576,Computation!$72:$75</definedName>
    <definedName name="Z_483AFC7C_A53B_4837_A853_31CBC6C9ED1B_.wvu.Rows" localSheetId="1" hidden="1">GA55A!$951:$1048576,GA55A!$39:$950</definedName>
    <definedName name="Z_483AFC7C_A53B_4837_A853_31CBC6C9ED1B_.wvu.Rows" localSheetId="2" hidden="1">'Other Deduction'!$562:$1048576,'Other Deduction'!$24:$561</definedName>
  </definedNames>
  <calcPr calcId="19102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5" i="3" l="1"/>
  <c r="O63" i="3"/>
  <c r="Q60" i="3"/>
  <c r="Q44" i="3"/>
  <c r="Q41" i="3"/>
  <c r="Q40" i="3"/>
  <c r="Q39" i="3"/>
  <c r="Q38" i="3"/>
  <c r="Q37" i="3"/>
  <c r="Q36" i="3"/>
  <c r="Q33" i="3"/>
  <c r="M8" i="3"/>
  <c r="S12" i="2"/>
  <c r="F17" i="1"/>
  <c r="H24" i="2" l="1"/>
  <c r="O24" i="2" s="1"/>
  <c r="H13" i="1"/>
  <c r="H11" i="1"/>
  <c r="O29" i="3"/>
  <c r="O28" i="3"/>
  <c r="O27" i="3"/>
  <c r="O26" i="3"/>
  <c r="O25" i="3"/>
  <c r="O24" i="3"/>
  <c r="O23" i="3"/>
  <c r="I30" i="3"/>
  <c r="I28" i="3"/>
  <c r="I25" i="3"/>
  <c r="I24" i="3"/>
  <c r="I23" i="3"/>
  <c r="I6" i="1"/>
  <c r="Q17" i="3" s="1"/>
  <c r="Q42" i="3"/>
  <c r="Q43" i="3"/>
  <c r="I5" i="1"/>
  <c r="L3" i="3"/>
  <c r="H12" i="2"/>
  <c r="N32" i="2"/>
  <c r="N31" i="2"/>
  <c r="N29" i="2"/>
  <c r="AA29" i="2" s="1"/>
  <c r="N28" i="2"/>
  <c r="M9" i="3"/>
  <c r="Q12" i="2"/>
  <c r="O12" i="2"/>
  <c r="I12" i="2"/>
  <c r="D13" i="2"/>
  <c r="S13" i="2" s="1"/>
  <c r="Z13" i="2"/>
  <c r="Z14" i="2" s="1"/>
  <c r="Z15" i="2" s="1"/>
  <c r="Z16" i="2" s="1"/>
  <c r="Z17" i="2" s="1"/>
  <c r="Z18" i="2" s="1"/>
  <c r="Z19" i="2" s="1"/>
  <c r="Z20" i="2" s="1"/>
  <c r="Z21" i="2" s="1"/>
  <c r="Z22" i="2" s="1"/>
  <c r="Z23" i="2" s="1"/>
  <c r="Y13" i="2"/>
  <c r="Y14" i="2" s="1"/>
  <c r="Y15" i="2" s="1"/>
  <c r="Y16" i="2" s="1"/>
  <c r="Y17" i="2" s="1"/>
  <c r="Y18" i="2" s="1"/>
  <c r="Y19" i="2" s="1"/>
  <c r="Y20" i="2" s="1"/>
  <c r="Y21" i="2" s="1"/>
  <c r="Y22" i="2" s="1"/>
  <c r="Y23" i="2" s="1"/>
  <c r="J14" i="2"/>
  <c r="H13" i="2" l="1"/>
  <c r="O13" i="2" s="1"/>
  <c r="AA31" i="2"/>
  <c r="AB31" i="2" s="1"/>
  <c r="AA32" i="2"/>
  <c r="AB32" i="2" s="1"/>
  <c r="N30" i="2"/>
  <c r="AB29" i="2"/>
  <c r="AA30" i="2"/>
  <c r="I13" i="2"/>
  <c r="P3" i="3"/>
  <c r="D27" i="2"/>
  <c r="N27" i="2" s="1"/>
  <c r="Z33" i="2"/>
  <c r="Y33" i="2"/>
  <c r="U33" i="2"/>
  <c r="I27" i="3" s="1"/>
  <c r="K13" i="2"/>
  <c r="K14" i="2" s="1"/>
  <c r="K15" i="2" s="1"/>
  <c r="K16" i="2" s="1"/>
  <c r="K17" i="2" s="1"/>
  <c r="K18" i="2" s="1"/>
  <c r="K19" i="2" s="1"/>
  <c r="K20" i="2" s="1"/>
  <c r="K21" i="2" s="1"/>
  <c r="K22" i="2" s="1"/>
  <c r="K23" i="2" s="1"/>
  <c r="AA28" i="2"/>
  <c r="AA27" i="2"/>
  <c r="AA26" i="2"/>
  <c r="P11" i="2"/>
  <c r="O11" i="2"/>
  <c r="AB30" i="2" l="1"/>
  <c r="K33" i="2"/>
  <c r="AB27" i="2"/>
  <c r="AA24" i="2"/>
  <c r="W13" i="2"/>
  <c r="V13" i="2"/>
  <c r="AA12" i="2" l="1"/>
  <c r="Q13" i="2" l="1"/>
  <c r="N24" i="2"/>
  <c r="AB24" i="2" s="1"/>
  <c r="W14" i="2"/>
  <c r="V14" i="2"/>
  <c r="T13" i="2"/>
  <c r="R13" i="2"/>
  <c r="P13" i="2"/>
  <c r="A2" i="1"/>
  <c r="K14" i="3"/>
  <c r="M12" i="3"/>
  <c r="E14" i="3" s="1"/>
  <c r="E3" i="3"/>
  <c r="B1" i="3"/>
  <c r="J15" i="2"/>
  <c r="J16" i="2" s="1"/>
  <c r="J17" i="2" s="1"/>
  <c r="J18" i="2" s="1"/>
  <c r="J19" i="2" s="1"/>
  <c r="J20" i="2" s="1"/>
  <c r="J21" i="2" s="1"/>
  <c r="J22" i="2" s="1"/>
  <c r="J23" i="2" s="1"/>
  <c r="J13" i="2"/>
  <c r="M13" i="2"/>
  <c r="L13" i="2"/>
  <c r="G13" i="2"/>
  <c r="F13" i="2"/>
  <c r="E13" i="2"/>
  <c r="E14" i="2"/>
  <c r="E15" i="2"/>
  <c r="E16" i="2"/>
  <c r="E17" i="2"/>
  <c r="E18" i="2"/>
  <c r="E19" i="2"/>
  <c r="E20" i="2"/>
  <c r="E21" i="2"/>
  <c r="E22" i="2"/>
  <c r="E23" i="2"/>
  <c r="J33" i="2" l="1"/>
  <c r="G14" i="2"/>
  <c r="G15" i="2" s="1"/>
  <c r="G16" i="2" s="1"/>
  <c r="G17" i="2" s="1"/>
  <c r="G18" i="2" s="1"/>
  <c r="G19" i="2" s="1"/>
  <c r="G20" i="2" s="1"/>
  <c r="G21" i="2" s="1"/>
  <c r="G22" i="2" s="1"/>
  <c r="G23" i="2" s="1"/>
  <c r="R14" i="2"/>
  <c r="R15" i="2" s="1"/>
  <c r="R16" i="2" s="1"/>
  <c r="R17" i="2" s="1"/>
  <c r="R18" i="2" s="1"/>
  <c r="R19" i="2" s="1"/>
  <c r="R20" i="2" s="1"/>
  <c r="R21" i="2" s="1"/>
  <c r="R22" i="2" s="1"/>
  <c r="R23" i="2" s="1"/>
  <c r="Q14" i="2"/>
  <c r="Q15" i="2" s="1"/>
  <c r="E33" i="2"/>
  <c r="F14" i="2"/>
  <c r="F15" i="2" s="1"/>
  <c r="F16" i="2" s="1"/>
  <c r="F17" i="2" s="1"/>
  <c r="F18" i="2" s="1"/>
  <c r="F19" i="2" s="1"/>
  <c r="F20" i="2" s="1"/>
  <c r="F21" i="2" s="1"/>
  <c r="F22" i="2" s="1"/>
  <c r="F23" i="2" s="1"/>
  <c r="L14" i="2"/>
  <c r="L15" i="2" s="1"/>
  <c r="L16" i="2" s="1"/>
  <c r="L17" i="2" s="1"/>
  <c r="L18" i="2" s="1"/>
  <c r="L19" i="2" s="1"/>
  <c r="L20" i="2" s="1"/>
  <c r="L21" i="2" s="1"/>
  <c r="L22" i="2" s="1"/>
  <c r="L23" i="2" s="1"/>
  <c r="P14" i="2"/>
  <c r="P15" i="2" s="1"/>
  <c r="P16" i="2" s="1"/>
  <c r="T14" i="2"/>
  <c r="T15" i="2" s="1"/>
  <c r="T16" i="2" s="1"/>
  <c r="T17" i="2" s="1"/>
  <c r="T18" i="2" s="1"/>
  <c r="T19" i="2" s="1"/>
  <c r="T20" i="2" s="1"/>
  <c r="T21" i="2" s="1"/>
  <c r="T22" i="2" s="1"/>
  <c r="T23" i="2" s="1"/>
  <c r="D14" i="2"/>
  <c r="S14" i="2" s="1"/>
  <c r="Q16" i="2"/>
  <c r="Q17" i="2" s="1"/>
  <c r="Q18" i="2" s="1"/>
  <c r="Q19" i="2" s="1"/>
  <c r="Q20" i="2" s="1"/>
  <c r="Q21" i="2" s="1"/>
  <c r="Q22" i="2" s="1"/>
  <c r="Q23" i="2" s="1"/>
  <c r="AB28" i="2"/>
  <c r="W15" i="2"/>
  <c r="W16" i="2" s="1"/>
  <c r="W17" i="2" s="1"/>
  <c r="W18" i="2" s="1"/>
  <c r="W19" i="2" s="1"/>
  <c r="W20" i="2" s="1"/>
  <c r="W21" i="2" s="1"/>
  <c r="W22" i="2" s="1"/>
  <c r="W23" i="2" s="1"/>
  <c r="V15" i="2"/>
  <c r="V16" i="2" s="1"/>
  <c r="V17" i="2" s="1"/>
  <c r="V18" i="2" s="1"/>
  <c r="V19" i="2" s="1"/>
  <c r="V20" i="2" s="1"/>
  <c r="V21" i="2" s="1"/>
  <c r="V22" i="2" s="1"/>
  <c r="V23" i="2" s="1"/>
  <c r="P17" i="2"/>
  <c r="P18" i="2" s="1"/>
  <c r="P19" i="2" s="1"/>
  <c r="P20" i="2" s="1"/>
  <c r="P21" i="2" s="1"/>
  <c r="P22" i="2" s="1"/>
  <c r="P23" i="2" s="1"/>
  <c r="N12" i="2"/>
  <c r="X13" i="2" s="1"/>
  <c r="M14" i="2"/>
  <c r="M15" i="2" s="1"/>
  <c r="M16" i="2" s="1"/>
  <c r="M17" i="2" s="1"/>
  <c r="M18" i="2" s="1"/>
  <c r="M19" i="2" s="1"/>
  <c r="M20" i="2" s="1"/>
  <c r="M21" i="2" s="1"/>
  <c r="M22" i="2" s="1"/>
  <c r="M23" i="2" s="1"/>
  <c r="H14" i="2" l="1"/>
  <c r="O14" i="2" s="1"/>
  <c r="I14" i="2"/>
  <c r="L33" i="2"/>
  <c r="F33" i="2"/>
  <c r="R33" i="2"/>
  <c r="T33" i="2"/>
  <c r="I22" i="3" s="1"/>
  <c r="D15" i="2"/>
  <c r="S15" i="2" s="1"/>
  <c r="AA13" i="2"/>
  <c r="P33" i="2"/>
  <c r="V33" i="2"/>
  <c r="I29" i="3" s="1"/>
  <c r="X14" i="2"/>
  <c r="X15" i="2" s="1"/>
  <c r="X16" i="2" s="1"/>
  <c r="X17" i="2" s="1"/>
  <c r="X18" i="2" s="1"/>
  <c r="X19" i="2" s="1"/>
  <c r="X20" i="2" s="1"/>
  <c r="X21" i="2" s="1"/>
  <c r="X22" i="2" s="1"/>
  <c r="X23" i="2" s="1"/>
  <c r="N13" i="2"/>
  <c r="W33" i="2"/>
  <c r="H14" i="3" s="1"/>
  <c r="M33" i="2"/>
  <c r="Q33" i="2"/>
  <c r="I21" i="3" s="1"/>
  <c r="G33" i="2"/>
  <c r="H15" i="2" l="1"/>
  <c r="D16" i="2"/>
  <c r="S16" i="2" s="1"/>
  <c r="O15" i="2"/>
  <c r="I15" i="2"/>
  <c r="AB13" i="2"/>
  <c r="N14" i="2"/>
  <c r="X33" i="2"/>
  <c r="AA14" i="2"/>
  <c r="F63" i="3"/>
  <c r="M14" i="3"/>
  <c r="Q15" i="3" s="1"/>
  <c r="H16" i="2" l="1"/>
  <c r="O16" i="2" s="1"/>
  <c r="I16" i="2"/>
  <c r="AB14" i="2"/>
  <c r="AA15" i="2"/>
  <c r="N15" i="2"/>
  <c r="D17" i="2"/>
  <c r="S17" i="2" s="1"/>
  <c r="H17" i="2" l="1"/>
  <c r="O17" i="2"/>
  <c r="I17" i="2"/>
  <c r="N16" i="2"/>
  <c r="AB15" i="2"/>
  <c r="AA16" i="2"/>
  <c r="J63" i="3"/>
  <c r="D18" i="2"/>
  <c r="S18" i="2" s="1"/>
  <c r="H18" i="2" l="1"/>
  <c r="N17" i="2"/>
  <c r="O18" i="2"/>
  <c r="I18" i="2"/>
  <c r="AB16" i="2"/>
  <c r="AA17" i="2"/>
  <c r="M63" i="3"/>
  <c r="L63" i="3"/>
  <c r="F8" i="1"/>
  <c r="D19" i="2"/>
  <c r="S19" i="2" s="1"/>
  <c r="H19" i="2" l="1"/>
  <c r="AB17" i="2"/>
  <c r="O19" i="2"/>
  <c r="I19" i="2"/>
  <c r="N18" i="2"/>
  <c r="AA18" i="2"/>
  <c r="D26" i="2"/>
  <c r="H26" i="2" s="1"/>
  <c r="P63" i="3"/>
  <c r="D20" i="2"/>
  <c r="S20" i="2" s="1"/>
  <c r="H20" i="2" l="1"/>
  <c r="O20" i="2"/>
  <c r="N19" i="2"/>
  <c r="I20" i="2"/>
  <c r="AB18" i="2"/>
  <c r="AA19" i="2"/>
  <c r="AB12" i="2"/>
  <c r="D21" i="2"/>
  <c r="S21" i="2" s="1"/>
  <c r="AB19" i="2" l="1"/>
  <c r="H21" i="2"/>
  <c r="O21" i="2"/>
  <c r="I21" i="2"/>
  <c r="N20" i="2"/>
  <c r="N25" i="2"/>
  <c r="AA25" i="2"/>
  <c r="N26" i="2"/>
  <c r="AB26" i="2" s="1"/>
  <c r="AA20" i="2"/>
  <c r="D22" i="2"/>
  <c r="S22" i="2" s="1"/>
  <c r="H22" i="2" l="1"/>
  <c r="O22" i="2"/>
  <c r="I22" i="2"/>
  <c r="AB20" i="2"/>
  <c r="AB25" i="2"/>
  <c r="AA21" i="2"/>
  <c r="N21" i="2"/>
  <c r="D23" i="2"/>
  <c r="S23" i="2" s="1"/>
  <c r="H23" i="2" l="1"/>
  <c r="H18" i="1" s="1"/>
  <c r="S33" i="2"/>
  <c r="O23" i="2"/>
  <c r="O33" i="2" s="1"/>
  <c r="I23" i="2"/>
  <c r="I33" i="2" s="1"/>
  <c r="AA22" i="2"/>
  <c r="AB21" i="2"/>
  <c r="N22" i="2"/>
  <c r="D33" i="2"/>
  <c r="I26" i="3" l="1"/>
  <c r="J9" i="1"/>
  <c r="H33" i="2"/>
  <c r="AB22" i="2"/>
  <c r="AA23" i="2"/>
  <c r="AA33" i="2" s="1"/>
  <c r="H21" i="1"/>
  <c r="N23" i="2" l="1"/>
  <c r="AB23" i="2" l="1"/>
  <c r="AB33" i="2" s="1"/>
  <c r="N33" i="2"/>
  <c r="Q4" i="3" l="1"/>
  <c r="F4" i="1" s="1"/>
  <c r="I9" i="1"/>
  <c r="H9" i="1" s="1"/>
  <c r="Q32" i="3" s="1"/>
  <c r="E9" i="1" l="1"/>
  <c r="Q6" i="3"/>
  <c r="M7" i="3" s="1"/>
  <c r="Q10" i="3" s="1"/>
  <c r="Q45" i="3" l="1"/>
  <c r="O21" i="3"/>
  <c r="Q11" i="3"/>
  <c r="Q16" i="3" s="1"/>
  <c r="Q18" i="3" s="1"/>
  <c r="I10" i="1" l="1"/>
  <c r="K10" i="1" s="1"/>
  <c r="J10" i="1" s="1"/>
  <c r="O30" i="3"/>
  <c r="Q31" i="3" s="1"/>
  <c r="F12" i="1" l="1"/>
  <c r="D22" i="1"/>
  <c r="A22" i="1"/>
  <c r="Q34" i="3"/>
  <c r="Q46" i="3" s="1"/>
  <c r="Q47" i="3" s="1"/>
  <c r="Q48" i="3" s="1"/>
  <c r="Q52" i="3" l="1"/>
  <c r="Q54" i="3"/>
  <c r="F6" i="1"/>
  <c r="Q53" i="3"/>
  <c r="Q55" i="3" l="1"/>
  <c r="Q56" i="3" s="1"/>
  <c r="Q57" i="3" l="1"/>
  <c r="Q58" i="3" s="1"/>
  <c r="Q59" i="3" s="1"/>
  <c r="Q61" i="3" s="1"/>
  <c r="B64" i="3" s="1"/>
  <c r="A21" i="1" s="1"/>
  <c r="Q64" i="3" l="1"/>
  <c r="D2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 P</author>
  </authors>
  <commentList>
    <comment ref="Z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C P:
Please select for NPS Employee "Yes"
Otherwise "No".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L3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C P:
Please Select 
 Yes or No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X3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C P:
Example
For Month July,
Please Select 7 in Drop Down Menu.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<sst xmlns="http://schemas.openxmlformats.org/spreadsheetml/2006/main" count="310" uniqueCount="246">
  <si>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</si>
  <si>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</si>
  <si>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</si>
  <si>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</si>
  <si>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</si>
  <si>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</si>
  <si>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</si>
  <si>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</si>
  <si>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</si>
  <si>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</si>
  <si>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</si>
  <si>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</si>
  <si>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</si>
  <si>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</si>
  <si>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</si>
  <si>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</si>
  <si>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RPMF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</si>
  <si>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</si>
  <si>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</si>
  <si>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</si>
  <si>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</si>
  <si>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</si>
  <si>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</si>
  <si>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</si>
  <si>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</si>
  <si>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</si>
  <si>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Gross Pay</t>
  </si>
  <si>
    <t>Taxable Amt</t>
  </si>
  <si>
    <t>vU; vk;</t>
  </si>
  <si>
    <t>PAN :</t>
  </si>
  <si>
    <t>Name :</t>
  </si>
  <si>
    <t>Post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</si>
  <si>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</si>
  <si>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</si>
  <si>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</si>
  <si>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</si>
  <si>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</si>
  <si>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</si>
  <si>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</si>
  <si>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</si>
  <si>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</si>
  <si>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</si>
  <si>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</si>
  <si>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</si>
  <si>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</si>
  <si>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</si>
  <si>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</si>
  <si>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</si>
  <si>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</si>
  <si>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</si>
  <si>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</si>
  <si>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</si>
  <si>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</si>
  <si>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</si>
  <si>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</si>
  <si>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</si>
  <si>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</si>
  <si>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</si>
  <si>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</si>
  <si>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</si>
  <si>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</si>
  <si>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</si>
  <si>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</si>
  <si>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</si>
  <si>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</si>
  <si>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</si>
  <si>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</si>
  <si>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</si>
  <si>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</si>
  <si>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</si>
  <si>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</si>
  <si>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</si>
  <si>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</si>
  <si>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</si>
  <si>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</si>
  <si>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</si>
  <si>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</si>
  <si>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</si>
  <si>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</si>
  <si>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t>,d O;fDr dj nkrk</t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</si>
  <si>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</si>
  <si>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</si>
  <si>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</si>
  <si>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</si>
  <si>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</si>
  <si>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</si>
  <si>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Chandra Prakash Kurmi</t>
  </si>
  <si>
    <t>Leave  Pay</t>
  </si>
  <si>
    <t xml:space="preserve">Other </t>
  </si>
  <si>
    <t>HBA Interest</t>
  </si>
  <si>
    <t>HBA Premium</t>
  </si>
  <si>
    <t>Total
Deduction</t>
  </si>
  <si>
    <t>Gross  Salary</t>
  </si>
  <si>
    <t>Bill No. - Date 
/ 
TV No. - Date</t>
  </si>
  <si>
    <t>Washing Allow.</t>
  </si>
  <si>
    <t>ofj"B ukxfjd ¼60 ls 80 o"kZ rd½</t>
  </si>
  <si>
    <t>3,00,001-5,00,000</t>
  </si>
  <si>
    <t>Bank A/c :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</si>
  <si>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</si>
  <si>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</si>
  <si>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</si>
  <si>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t>00000123456789</t>
  </si>
  <si>
    <t>Office of the Principal, Govt. Sr. Sec. Sch. Todaraisingh,  (Tonk)</t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</si>
  <si>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</si>
  <si>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</si>
  <si>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</si>
  <si>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</si>
  <si>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t>Rebate Under Section
80C, 80CCC, 80CCD(1)</t>
  </si>
  <si>
    <t>;fn gk¡ rks ftl ekg esa fcy cuk mldk Øekad pqusaA</t>
  </si>
  <si>
    <t>D;k vkius lefiZr osru fy;k gS \</t>
  </si>
  <si>
    <t>Lecturer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</si>
  <si>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</si>
  <si>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</si>
  <si>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t>AAAAA1234A</t>
  </si>
  <si>
    <r>
      <rPr>
        <sz val="18"/>
        <color theme="0"/>
        <rFont val="DevLys 010"/>
      </rPr>
      <t xml:space="preserve">lkHkkj % pUnz izdk'k dqeh]Z izk/;kid HkkSfrdh] jk-m-ek-fo- VksMkjk;flag ¼Vksad½ </t>
    </r>
    <r>
      <rPr>
        <sz val="16"/>
        <color theme="0"/>
        <rFont val="DevLys 010"/>
      </rPr>
      <t xml:space="preserve">
</t>
    </r>
    <r>
      <rPr>
        <sz val="18"/>
        <color theme="0"/>
        <rFont val="DevLys 010"/>
      </rPr>
      <t>fdlh Hkh izdkj dh rduhdh leL;k@lq&gt;ko ds fy, bZesy djsa &amp;</t>
    </r>
    <r>
      <rPr>
        <sz val="16"/>
        <color theme="0"/>
        <rFont val="DevLys 010"/>
      </rPr>
      <t xml:space="preserve"> </t>
    </r>
    <r>
      <rPr>
        <sz val="13"/>
        <color theme="0"/>
        <rFont val="Calibri"/>
        <family val="2"/>
        <scheme val="minor"/>
      </rPr>
      <t xml:space="preserve"> </t>
    </r>
    <r>
      <rPr>
        <sz val="14"/>
        <color theme="0"/>
        <rFont val="Calibri"/>
        <family val="2"/>
        <scheme val="minor"/>
      </rPr>
      <t>cpkurmi@gmail.com</t>
    </r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</si>
  <si>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</si>
  <si>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</si>
  <si>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</si>
  <si>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</si>
  <si>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</si>
  <si>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</si>
  <si>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</si>
  <si>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</si>
  <si>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</si>
  <si>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</si>
  <si>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</si>
  <si>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</si>
  <si>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</si>
  <si>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</si>
  <si>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</si>
  <si>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</si>
  <si>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</si>
  <si>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</si>
  <si>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</si>
  <si>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</si>
  <si>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</si>
  <si>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</si>
  <si>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</si>
  <si>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r>
      <t>D;k vki ofj"B ukxfjd Js.kh ¼</t>
    </r>
    <r>
      <rPr>
        <b/>
        <sz val="11"/>
        <color rgb="FF0000FF"/>
        <rFont val="Calibri"/>
        <family val="2"/>
        <scheme val="minor"/>
      </rPr>
      <t>60-80</t>
    </r>
    <r>
      <rPr>
        <b/>
        <sz val="13"/>
        <color rgb="FF0000FF"/>
        <rFont val="DevLys 010"/>
      </rPr>
      <t xml:space="preserve"> vk;qoxZ½ esa vkrs gS \</t>
    </r>
  </si>
  <si>
    <t>Other Decuction 1</t>
  </si>
  <si>
    <t>Other Decuction 2</t>
  </si>
  <si>
    <t>Group Insurance  
Accidental</t>
  </si>
  <si>
    <t>ROP (If any, put the value in minus)</t>
  </si>
  <si>
    <t>Net Payment</t>
  </si>
  <si>
    <t>TAN:</t>
  </si>
  <si>
    <t>BBBB00000B</t>
  </si>
  <si>
    <t>No</t>
  </si>
  <si>
    <t>Other Allowance 1</t>
  </si>
  <si>
    <t>Other Allowance 2</t>
  </si>
  <si>
    <t>www.rssrashtriya.org</t>
  </si>
  <si>
    <t>D;k vkius cksul feyk gS \</t>
  </si>
  <si>
    <t>H.R.A.</t>
  </si>
  <si>
    <t>osru ds vfrfjDr dVkSfr;k¡] vk;@tek jkf'k ,oa NwV dk fooj.k</t>
  </si>
  <si>
    <t>How to use this Utility</t>
  </si>
  <si>
    <t>GA 55 A Sheet</t>
  </si>
  <si>
    <r>
      <t xml:space="preserve">;fn vki 01-01-2004 dks ;k mlds i'pkr fu;qDr dkfeZd gSa rks </t>
    </r>
    <r>
      <rPr>
        <sz val="12"/>
        <rFont val="Calibri"/>
        <family val="2"/>
        <scheme val="minor"/>
      </rPr>
      <t>Drop Down Menu</t>
    </r>
    <r>
      <rPr>
        <sz val="14"/>
        <rFont val="DevLys 010"/>
      </rPr>
      <t xml:space="preserve"> ¼ihyk ckWDl½ esa ls </t>
    </r>
    <r>
      <rPr>
        <sz val="12"/>
        <rFont val="Calibri"/>
        <family val="2"/>
        <scheme val="minor"/>
      </rPr>
      <t>"Yes"</t>
    </r>
    <r>
      <rPr>
        <sz val="14"/>
        <rFont val="DevLys 010"/>
      </rPr>
      <t xml:space="preserve"> pqusa] vU;Fkk </t>
    </r>
    <r>
      <rPr>
        <sz val="12"/>
        <rFont val="Calibri"/>
        <family val="2"/>
        <scheme val="minor"/>
      </rPr>
      <t xml:space="preserve">"No" </t>
    </r>
    <r>
      <rPr>
        <sz val="14"/>
        <rFont val="DevLys 010"/>
      </rPr>
      <t>pqusa</t>
    </r>
  </si>
  <si>
    <r>
      <t xml:space="preserve">D;k vki ofj"B ukxfjd Js.kh ¼60 ls 80 vk;qoxZ½ esa vkrs gS \ lkeus ihys ckWDl esa ls </t>
    </r>
    <r>
      <rPr>
        <sz val="12"/>
        <rFont val="Calibri"/>
        <family val="2"/>
        <scheme val="minor"/>
      </rPr>
      <t>Yes/No</t>
    </r>
    <r>
      <rPr>
        <sz val="14"/>
        <rFont val="DevLys 010"/>
      </rPr>
      <t xml:space="preserve"> pqusaA</t>
    </r>
  </si>
  <si>
    <r>
      <t xml:space="preserve">is eSustj ls th-,- 55 fudkydj vFkok is iksfLVax ls </t>
    </r>
    <r>
      <rPr>
        <sz val="12"/>
        <rFont val="Calibri"/>
        <family val="2"/>
        <scheme val="minor"/>
      </rPr>
      <t xml:space="preserve">Gross Salary, Total Deduction, Net Payment </t>
    </r>
    <r>
      <rPr>
        <sz val="14"/>
        <rFont val="DevLys 010"/>
      </rPr>
      <t>dk feyku dj ysosaA</t>
    </r>
  </si>
  <si>
    <r>
      <t xml:space="preserve">vkidks ftrus dkfeZdksa dh vk;dj x.kuk djuh gS] loZizFke mruh ckj odZcqd dks muds uke ls </t>
    </r>
    <r>
      <rPr>
        <sz val="12"/>
        <rFont val="Calibri"/>
        <family val="2"/>
        <scheme val="minor"/>
      </rPr>
      <t xml:space="preserve">Save as </t>
    </r>
    <r>
      <rPr>
        <sz val="14"/>
        <rFont val="DevLys 010"/>
      </rPr>
      <t>dj ysosaA</t>
    </r>
  </si>
  <si>
    <t>Other Deduction Sheet</t>
  </si>
  <si>
    <r>
      <t xml:space="preserve">D;k vkidks cksul feyk gS \ lkeus ihys ckWDl esa ls </t>
    </r>
    <r>
      <rPr>
        <sz val="12"/>
        <rFont val="Calibri"/>
        <family val="2"/>
        <scheme val="minor"/>
      </rPr>
      <t>Yes/No</t>
    </r>
    <r>
      <rPr>
        <sz val="14"/>
        <rFont val="DevLys 010"/>
      </rPr>
      <t xml:space="preserve"> pqusaA fo|ky; dk uke] dkfeZd dk uke] in ] iSu] Vsu ,oa [kkrk uEcj ifjofrZr djsaA</t>
    </r>
  </si>
  <si>
    <t xml:space="preserve">bl 'khV esa osru ds vfrfjDr vk;] fofHkUu dVkSfr;k¡] fofHkUu tek jkf'k@NwV] osru ds vykok dkVk x;k vk;dj vkfn fooj.k fy[kk tkuk gSA </t>
  </si>
  <si>
    <t>Computation Sheet</t>
  </si>
  <si>
    <t>ekpZ dk ewy osru fy[kdj ,.Vj nck;saA vkidh ldy vk; Lor% vk tk;sxhA dVkSfr;k¡ Lysc ds vuqlkj gS] vkidh dVkSfr;k¡ fHkUu gks ldrh gSA dVkSfr;k¡ fHkUu gksus ij loZizFke ekpZ dh iafDr esa ifjorZu djs] vko';drk vuqlkj vU; ekg esa ifjorZu djsaA</t>
  </si>
  <si>
    <r>
      <t xml:space="preserve">bl 'khV esa </t>
    </r>
    <r>
      <rPr>
        <sz val="12"/>
        <rFont val="Calibri"/>
        <family val="2"/>
        <scheme val="minor"/>
      </rPr>
      <t xml:space="preserve">GA55A </t>
    </r>
    <r>
      <rPr>
        <sz val="14"/>
        <rFont val="DevLys 010"/>
      </rPr>
      <t>rFkk</t>
    </r>
    <r>
      <rPr>
        <sz val="12"/>
        <rFont val="Calibri"/>
        <family val="2"/>
        <scheme val="minor"/>
      </rPr>
      <t xml:space="preserve"> Other Dedution </t>
    </r>
    <r>
      <rPr>
        <sz val="14"/>
        <rFont val="DevLys 010"/>
      </rPr>
      <t>dk</t>
    </r>
    <r>
      <rPr>
        <sz val="12"/>
        <rFont val="Calibri"/>
        <family val="2"/>
        <scheme val="minor"/>
      </rPr>
      <t xml:space="preserve"> Data </t>
    </r>
    <r>
      <rPr>
        <sz val="14"/>
        <rFont val="DevLys 010"/>
      </rPr>
      <t xml:space="preserve">Lor% vk;sxkA bl 'khV esa vkidks </t>
    </r>
    <r>
      <rPr>
        <sz val="12"/>
        <rFont val="Calibri"/>
        <family val="2"/>
        <scheme val="minor"/>
      </rPr>
      <t xml:space="preserve">Edit </t>
    </r>
    <r>
      <rPr>
        <sz val="14"/>
        <rFont val="DevLys 010"/>
      </rPr>
      <t xml:space="preserve">dh vuqefr ugha gSA tks Hkh ifjorZu djuk gS </t>
    </r>
    <r>
      <rPr>
        <sz val="12"/>
        <rFont val="Calibri"/>
        <family val="2"/>
        <scheme val="minor"/>
      </rPr>
      <t>GA55A</t>
    </r>
    <r>
      <rPr>
        <sz val="14"/>
        <rFont val="DevLys 010"/>
      </rPr>
      <t xml:space="preserve"> rFkk </t>
    </r>
    <r>
      <rPr>
        <sz val="12"/>
        <rFont val="Calibri"/>
        <family val="2"/>
        <scheme val="minor"/>
      </rPr>
      <t>Other Dedution</t>
    </r>
    <r>
      <rPr>
        <sz val="14"/>
        <rFont val="DevLys 010"/>
      </rPr>
      <t xml:space="preserve"> 'khV esa gh djsA</t>
    </r>
    <r>
      <rPr>
        <sz val="12"/>
        <rFont val="Calibri"/>
        <family val="2"/>
        <scheme val="minor"/>
      </rPr>
      <t xml:space="preserve"> NPS Employee </t>
    </r>
    <r>
      <rPr>
        <sz val="14"/>
        <rFont val="DevLys 010"/>
      </rPr>
      <t xml:space="preserve">ds fy, ldy vk; esa </t>
    </r>
    <r>
      <rPr>
        <sz val="12"/>
        <rFont val="Calibri"/>
        <family val="2"/>
        <scheme val="minor"/>
      </rPr>
      <t xml:space="preserve">Govt. Contribution Pension Fund </t>
    </r>
    <r>
      <rPr>
        <sz val="14"/>
        <rFont val="DevLys 010"/>
      </rPr>
      <t>dh jkf'k tksM+h x;h gSA</t>
    </r>
  </si>
  <si>
    <t>Print</t>
  </si>
  <si>
    <r>
      <rPr>
        <sz val="12"/>
        <rFont val="Calibri"/>
        <family val="2"/>
        <scheme val="minor"/>
      </rPr>
      <t xml:space="preserve">GA55A &amp; Computation Sheet </t>
    </r>
    <r>
      <rPr>
        <sz val="14"/>
        <rFont val="DevLys 010"/>
      </rPr>
      <t xml:space="preserve">isij lkbt </t>
    </r>
    <r>
      <rPr>
        <sz val="12"/>
        <rFont val="Calibri"/>
        <family val="2"/>
        <scheme val="minor"/>
      </rPr>
      <t>A4</t>
    </r>
    <r>
      <rPr>
        <sz val="14"/>
        <rFont val="DevLys 010"/>
      </rPr>
      <t xml:space="preserve"> ij</t>
    </r>
    <r>
      <rPr>
        <sz val="12"/>
        <rFont val="Calibri"/>
        <family val="2"/>
        <scheme val="minor"/>
      </rPr>
      <t xml:space="preserve"> Page Setup </t>
    </r>
    <r>
      <rPr>
        <sz val="14"/>
        <rFont val="DevLys 010"/>
      </rPr>
      <t>fd;k gqvk gSA lh/ks nksuksa 'khV dk vkxsa ihNs fizaV ysaA</t>
    </r>
  </si>
  <si>
    <r>
      <t xml:space="preserve">;fn vkius lefiZr osru fy;k gS rk </t>
    </r>
    <r>
      <rPr>
        <sz val="12"/>
        <rFont val="Calibri"/>
        <family val="2"/>
        <scheme val="minor"/>
      </rPr>
      <t xml:space="preserve">Yes </t>
    </r>
    <r>
      <rPr>
        <sz val="14"/>
        <rFont val="DevLys 010"/>
      </rPr>
      <t xml:space="preserve">pqus rFkk fcy uEcj dk ekg lysDV djsaA lefiZr osru ugha fy;k gS rks </t>
    </r>
    <r>
      <rPr>
        <sz val="12"/>
        <rFont val="Calibri"/>
        <family val="2"/>
        <scheme val="minor"/>
      </rPr>
      <t xml:space="preserve">No </t>
    </r>
    <r>
      <rPr>
        <sz val="14"/>
        <rFont val="DevLys 010"/>
      </rPr>
      <t xml:space="preserve">pqusaA </t>
    </r>
  </si>
  <si>
    <t>HRA</t>
  </si>
  <si>
    <r>
      <t xml:space="preserve">;fn vki 01-01-2004 dks ;k mlds i'pkr fu;qDr dkfeZd gSa rks </t>
    </r>
    <r>
      <rPr>
        <b/>
        <sz val="14"/>
        <color rgb="FF0000FF"/>
        <rFont val="Calibri"/>
        <family val="2"/>
        <scheme val="minor"/>
      </rPr>
      <t xml:space="preserve">Drop Down Menu </t>
    </r>
    <r>
      <rPr>
        <b/>
        <sz val="14"/>
        <color rgb="FF0000FF"/>
        <rFont val="DevLys 010"/>
      </rPr>
      <t xml:space="preserve">esa ls </t>
    </r>
    <r>
      <rPr>
        <b/>
        <sz val="14"/>
        <color rgb="FF0000FF"/>
        <rFont val="Calibri"/>
        <family val="2"/>
        <scheme val="minor"/>
      </rPr>
      <t xml:space="preserve">"Yes" </t>
    </r>
    <r>
      <rPr>
        <b/>
        <sz val="14"/>
        <color rgb="FF0000FF"/>
        <rFont val="DevLys 010"/>
      </rPr>
      <t xml:space="preserve">pqusa] vU;Fkk </t>
    </r>
    <r>
      <rPr>
        <b/>
        <sz val="14"/>
        <color rgb="FF0000FF"/>
        <rFont val="Calibri"/>
        <family val="2"/>
        <scheme val="minor"/>
      </rPr>
      <t>"No"</t>
    </r>
    <r>
      <rPr>
        <b/>
        <sz val="14"/>
        <color rgb="FF0000FF"/>
        <rFont val="DevLys 010"/>
      </rPr>
      <t xml:space="preserve"> pqusaA </t>
    </r>
  </si>
  <si>
    <r>
      <rPr>
        <sz val="12"/>
        <rFont val="Calibri"/>
        <family val="2"/>
        <scheme val="minor"/>
      </rPr>
      <t xml:space="preserve">NPS Employee </t>
    </r>
    <r>
      <rPr>
        <sz val="14"/>
        <rFont val="DevLys 010"/>
      </rPr>
      <t xml:space="preserve">ds fy, </t>
    </r>
    <r>
      <rPr>
        <sz val="12"/>
        <rFont val="Calibri"/>
        <family val="2"/>
        <scheme val="minor"/>
      </rPr>
      <t xml:space="preserve">Cpmputation Shhet </t>
    </r>
    <r>
      <rPr>
        <sz val="14"/>
        <rFont val="DevLys 010"/>
      </rPr>
      <t>dh</t>
    </r>
    <r>
      <rPr>
        <sz val="12"/>
        <rFont val="Calibri"/>
        <family val="2"/>
        <scheme val="minor"/>
      </rPr>
      <t xml:space="preserve"> Gross Salary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 Govt. Contribution Fund </t>
    </r>
    <r>
      <rPr>
        <sz val="14"/>
        <rFont val="DevLys 010"/>
      </rPr>
      <t xml:space="preserve"> dh jkf'k tksM+h x;h gSA</t>
    </r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</si>
  <si>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</si>
  <si>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(xviii)</t>
  </si>
  <si>
    <t>lqdU;k le`f) ;kstuk esa tek jkf'k</t>
  </si>
  <si>
    <t>SI No.</t>
  </si>
  <si>
    <t>GPF/Pran No:</t>
  </si>
  <si>
    <t>Mobile No. :</t>
  </si>
  <si>
    <t>12345678910123</t>
  </si>
  <si>
    <r>
      <t xml:space="preserve">GA 55 A Sheet </t>
    </r>
    <r>
      <rPr>
        <sz val="14"/>
        <rFont val="DevLys 010"/>
      </rPr>
      <t xml:space="preserve">esa </t>
    </r>
    <r>
      <rPr>
        <sz val="12"/>
        <rFont val="Calibri"/>
        <family val="2"/>
        <scheme val="minor"/>
      </rPr>
      <t xml:space="preserve">Other Allowance/ Other Deduction </t>
    </r>
    <r>
      <rPr>
        <sz val="14"/>
        <rFont val="DevLys 010"/>
      </rPr>
      <t xml:space="preserve">ds lsy </t>
    </r>
    <r>
      <rPr>
        <sz val="12"/>
        <rFont val="Calibri"/>
        <family val="2"/>
        <scheme val="minor"/>
      </rPr>
      <t>Unlock</t>
    </r>
    <r>
      <rPr>
        <sz val="14"/>
        <rFont val="DevLys 010"/>
      </rPr>
      <t xml:space="preserve"> gS] budk uke ifjofrZr fd;k tk ldrk gSA</t>
    </r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</si>
  <si>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</si>
  <si>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</si>
  <si>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</si>
  <si>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</si>
  <si>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</si>
  <si>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</si>
  <si>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9"/>
        <rFont val="DevLys 010 "/>
      </rPr>
      <t>¼vf/kdre : 40]000] lhfu;j flVhtu gsrq : 100]000½</t>
    </r>
  </si>
  <si>
    <r>
      <t xml:space="preserve">vk;dj x.kuk izi= o"kZ 2019&amp;2020 ¼dj fu/kkZj.k o"kZ 2020&amp;2021½ </t>
    </r>
    <r>
      <rPr>
        <b/>
        <sz val="16"/>
        <rFont val="Calibri"/>
        <family val="2"/>
        <scheme val="minor"/>
      </rPr>
      <t>MS Excel Utility</t>
    </r>
    <r>
      <rPr>
        <b/>
        <sz val="18"/>
        <rFont val="Calibri"/>
        <family val="2"/>
        <scheme val="minor"/>
      </rPr>
      <t xml:space="preserve"> </t>
    </r>
  </si>
  <si>
    <r>
      <t xml:space="preserve">lkHkkj % pUnz izdk'k dqehZ] izk/;kid HkkSfrdh] jk-m-ek-fo- VksMkjk;flag ¼Vksad½ 
</t>
    </r>
    <r>
      <rPr>
        <b/>
        <sz val="14"/>
        <rFont val="DevLys 010"/>
      </rPr>
      <t>fdlh Hkh izdkj dh rduhdh leL;k@lq&gt;ko ds fy, bZesy djsa&amp;</t>
    </r>
    <r>
      <rPr>
        <b/>
        <i/>
        <sz val="14"/>
        <color rgb="FF0000FF"/>
        <rFont val="Times New Roman"/>
        <family val="1"/>
      </rPr>
      <t>cpkurmi@gmail.com</t>
    </r>
    <r>
      <rPr>
        <b/>
        <i/>
        <sz val="14"/>
        <rFont val="Times New Roman"/>
        <family val="1"/>
      </rPr>
      <t xml:space="preserve"> 
</t>
    </r>
    <r>
      <rPr>
        <b/>
        <sz val="14"/>
        <rFont val="DevLys 010"/>
      </rPr>
      <t xml:space="preserve">;g odZcqd </t>
    </r>
    <r>
      <rPr>
        <b/>
        <i/>
        <sz val="14"/>
        <color rgb="FF0000FF"/>
        <rFont val="Times New Roman"/>
        <family val="1"/>
      </rPr>
      <t>www.rssrashtriya.org</t>
    </r>
    <r>
      <rPr>
        <b/>
        <sz val="14"/>
        <rFont val="Calibri"/>
        <family val="2"/>
        <scheme val="minor"/>
      </rPr>
      <t xml:space="preserve"> </t>
    </r>
    <r>
      <rPr>
        <b/>
        <sz val="14"/>
        <rFont val="DevLys 010"/>
      </rPr>
      <t>ij miyC/k gSA</t>
    </r>
  </si>
  <si>
    <t>;g odZcqd jktLFkku ds f'k{kdksa dh mi;ksfxrk ds fy, rS;kj dh xbZ gSA ladyu ,oa x.kuk esa iw.kZ lko/kkuh j[kh xbZ gSA fQj Hkh =qfV @ fdlh Hkh izdkj dh fofHkUurk dh fLFkfr esa vk;dj foHkkx ds fu;e gh ekU; gSA rS;kjdrkZ dk dksbZ mRrjnkf;Ro ugha gksxkA</t>
  </si>
  <si>
    <t>Salary and Deduction Detail for FY 2019-2020</t>
  </si>
  <si>
    <t>DA Arrear 12%</t>
  </si>
  <si>
    <t>vk;dj x.kuk izi= o"kZ 2019&amp;2020 ¼dj fu/kkZj.k o"kZ 2020&amp;2021½</t>
  </si>
  <si>
    <t>vk; %  o"kZ&amp;2019&amp;20 esa izkIr dqy osru ¼ dj ;ksX; lqfo/kkvksa ds eqY; lfgr ½</t>
  </si>
  <si>
    <t>flrEcj 2019
rd  :i;s</t>
  </si>
  <si>
    <t>fnlEcj 2019
:i;s</t>
  </si>
  <si>
    <t>dqy VSDl dVkSrh
;ksx dkWye 19</t>
  </si>
  <si>
    <t>tuojh 2020
:i;s</t>
  </si>
  <si>
    <t>Qjojh 2020
:i;s</t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</si>
  <si>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 yk[k rd dh dj ;ksX; vk; ij vk;dj dh NwV vf/kdre :- 12500 rd½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</si>
  <si>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9"/>
        <rFont val="Arial"/>
        <family val="2"/>
      </rPr>
      <t xml:space="preserve">% </t>
    </r>
    <r>
      <rPr>
        <sz val="11"/>
        <rFont val="DevLys 010"/>
      </rPr>
      <t xml:space="preserve">/kkjk </t>
    </r>
    <r>
      <rPr>
        <sz val="11"/>
        <rFont val="Calibri"/>
        <family val="2"/>
        <scheme val="minor"/>
      </rPr>
      <t>80CCD(1)</t>
    </r>
  </si>
  <si>
    <r>
      <t>isa'ku Iyku gsrq va'knku 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</si>
  <si>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(xix)</t>
  </si>
  <si>
    <r>
      <t xml:space="preserve">9-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</si>
  <si>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C;kt dh vf/kdre NwV :- 10]000           </t>
    </r>
    <r>
      <rPr>
        <sz val="10"/>
        <rFont val="Calibri"/>
        <family val="2"/>
        <scheme val="minor"/>
      </rPr>
      <t>U/S 194(IA)</t>
    </r>
  </si>
  <si>
    <r>
      <t xml:space="preserve">8- /kkjk </t>
    </r>
    <r>
      <rPr>
        <sz val="10"/>
        <rFont val="Calibri"/>
        <family val="2"/>
        <scheme val="minor"/>
      </rPr>
      <t xml:space="preserve">80 TTB - </t>
    </r>
    <r>
      <rPr>
        <sz val="12"/>
        <rFont val="DevLys 010"/>
      </rPr>
      <t xml:space="preserve">aofj"B ukxfjdksa dks lHkh izdkj ds C;kt ij vf/kdre NwV&amp;  50000 :-       </t>
    </r>
    <r>
      <rPr>
        <sz val="10"/>
        <rFont val="Calibri"/>
        <family val="2"/>
        <scheme val="minor"/>
      </rPr>
      <t xml:space="preserve">U/S </t>
    </r>
    <r>
      <rPr>
        <sz val="12"/>
        <rFont val="DevLys 010"/>
      </rPr>
      <t>194</t>
    </r>
    <r>
      <rPr>
        <sz val="10"/>
        <rFont val="Calibri"/>
        <family val="2"/>
        <scheme val="minor"/>
      </rPr>
      <t>(A)</t>
    </r>
  </si>
  <si>
    <r>
      <t xml:space="preserve">;ksx </t>
    </r>
    <r>
      <rPr>
        <b/>
        <sz val="12"/>
        <rFont val="Times New Roman"/>
        <family val="1"/>
      </rPr>
      <t xml:space="preserve">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</si>
  <si>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50,000</t>
    </r>
    <r>
      <rPr>
        <sz val="12"/>
        <rFont val="DevLys 010"/>
      </rPr>
      <t xml:space="preserve"> ¼vf/kdre½ /kkjk 16 </t>
    </r>
    <r>
      <rPr>
        <sz val="11"/>
        <rFont val="Calibri"/>
        <family val="2"/>
        <scheme val="minor"/>
      </rPr>
      <t>(ia)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</si>
  <si>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 xml:space="preserve">½euksjatu Hkrk /kkjk 16 </t>
    </r>
    <r>
      <rPr>
        <sz val="11"/>
        <rFont val="Calibri"/>
        <family val="2"/>
        <scheme val="minor"/>
      </rPr>
      <t>(ii)</t>
    </r>
    <r>
      <rPr>
        <sz val="12"/>
        <rFont val="DevLys 010"/>
      </rPr>
      <t xml:space="preserve"> ds vUrxrZ ¼ vf/kdre lhek : 5000 ½</t>
    </r>
  </si>
  <si>
    <t xml:space="preserve">                                                           ;ksx ¼5½</t>
  </si>
  <si>
    <t>ldy vk;                                                                          ;ksx ¼8$9½</t>
  </si>
  <si>
    <t>17- bfDoVh fyad lsfoax Ldhe</t>
  </si>
  <si>
    <r>
      <t xml:space="preserve">18- LFkfxr okf"kZdh </t>
    </r>
    <r>
      <rPr>
        <sz val="11"/>
        <rFont val="Calibri"/>
        <family val="2"/>
        <scheme val="minor"/>
      </rPr>
      <t>(Defferred Annuty)</t>
    </r>
  </si>
  <si>
    <t>vU; tek jkf'k ¼/kkjk 80 lh ds vUrxZr½</t>
  </si>
  <si>
    <t>21- ,QMh vkfn vU; tek jkf'k ij izkIr dqy C;kt ¼ihih,Q dks NksM+dj½</t>
  </si>
  <si>
    <r>
      <t xml:space="preserve">20- cpr [kkrs </t>
    </r>
    <r>
      <rPr>
        <sz val="11"/>
        <rFont val="Times New Roman"/>
        <family val="1"/>
      </rPr>
      <t>(Saving Accounts)</t>
    </r>
    <r>
      <rPr>
        <sz val="13"/>
        <rFont val="DevLys 010"/>
      </rPr>
      <t xml:space="preserve"> dh tek jkf'k ij izkIr C;kt</t>
    </r>
  </si>
  <si>
    <r>
      <t>19- LVs.MMZ fMMsD'ku :i;s</t>
    </r>
    <r>
      <rPr>
        <sz val="13"/>
        <rFont val="Times New Roman"/>
        <family val="1"/>
      </rPr>
      <t xml:space="preserve">  </t>
    </r>
    <r>
      <rPr>
        <sz val="11"/>
        <rFont val="Times New Roman"/>
        <family val="1"/>
      </rPr>
      <t>50,000</t>
    </r>
    <r>
      <rPr>
        <sz val="13"/>
        <rFont val="DevLys 010"/>
      </rPr>
      <t xml:space="preserve"> ¼vf/kdre½ /kkjk </t>
    </r>
    <r>
      <rPr>
        <sz val="11"/>
        <rFont val="Times New Roman"/>
        <family val="1"/>
      </rPr>
      <t>16 (ia)</t>
    </r>
  </si>
  <si>
    <t>23- /kkjk 80 lh ds vUrxZr vU; en esa tek djk;h x;h jkf'k</t>
  </si>
  <si>
    <r>
      <t xml:space="preserve">24- /kkjk </t>
    </r>
    <r>
      <rPr>
        <sz val="11"/>
        <rFont val="Times New Roman"/>
        <family val="1"/>
      </rPr>
      <t>80CCC -</t>
    </r>
    <r>
      <rPr>
        <sz val="13"/>
        <rFont val="DevLys 010"/>
      </rPr>
      <t xml:space="preserve"> isa'ku Iyku gsrq va'knku ¼,u-ih-,l- ds avykok½</t>
    </r>
  </si>
  <si>
    <r>
      <t xml:space="preserve">25- ljdkjh isa'ku ;kstuk esa deZpkjh dk va'knku </t>
    </r>
    <r>
      <rPr>
        <sz val="10"/>
        <rFont val="DevLys 010"/>
      </rPr>
      <t xml:space="preserve">vf/kdre osru dk </t>
    </r>
    <r>
      <rPr>
        <sz val="10"/>
        <rFont val="Times New Roman"/>
        <family val="1"/>
      </rPr>
      <t>10%</t>
    </r>
    <r>
      <rPr>
        <sz val="10"/>
        <rFont val="DevLys 010"/>
      </rPr>
      <t xml:space="preserve"> /kkjk </t>
    </r>
    <r>
      <rPr>
        <sz val="10"/>
        <rFont val="Times New Roman"/>
        <family val="1"/>
      </rPr>
      <t>80CCD(1)</t>
    </r>
  </si>
  <si>
    <r>
      <t xml:space="preserve">26- /kkjk </t>
    </r>
    <r>
      <rPr>
        <sz val="11"/>
        <rFont val="Times New Roman"/>
        <family val="1"/>
      </rPr>
      <t>80CCD(1B)</t>
    </r>
    <r>
      <rPr>
        <sz val="13"/>
        <rFont val="DevLys 010"/>
      </rPr>
      <t xml:space="preserve"> uohu isa'ku ;kstuk esa vfrfjDr va'knku ¼vf/kdre :- 50]000½</t>
    </r>
  </si>
  <si>
    <r>
      <t xml:space="preserve">28- /kkjk </t>
    </r>
    <r>
      <rPr>
        <sz val="11"/>
        <rFont val="Times New Roman"/>
        <family val="1"/>
      </rPr>
      <t xml:space="preserve">80DD- </t>
    </r>
    <r>
      <rPr>
        <sz val="13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>80%</t>
    </r>
    <r>
      <rPr>
        <sz val="10"/>
        <rFont val="DevLys 010"/>
      </rPr>
      <t xml:space="preserve"> fodykaxrk 125000½</t>
    </r>
  </si>
  <si>
    <r>
      <t xml:space="preserve">29- /kkjk </t>
    </r>
    <r>
      <rPr>
        <sz val="11"/>
        <rFont val="Times New Roman"/>
        <family val="1"/>
      </rPr>
      <t xml:space="preserve">80DDB- </t>
    </r>
    <r>
      <rPr>
        <sz val="13"/>
        <rFont val="DevLys 010"/>
      </rPr>
      <t>fof'k"V jksxksa ds mipkj gsrq dVkSrh</t>
    </r>
    <r>
      <rPr>
        <sz val="10"/>
        <rFont val="DevLys 010"/>
      </rPr>
      <t xml:space="preserve"> ¼lkekU; 40000] ofj"B ukxfjd 1 yk[k½</t>
    </r>
  </si>
  <si>
    <r>
      <t xml:space="preserve">31- /kkjk </t>
    </r>
    <r>
      <rPr>
        <sz val="11"/>
        <rFont val="Times New Roman"/>
        <family val="1"/>
      </rPr>
      <t>80G -</t>
    </r>
    <r>
      <rPr>
        <sz val="13"/>
        <rFont val="DevLys 010"/>
      </rPr>
      <t xml:space="preserve"> /kekZFkZ laLFkkvksa vkfn dks fn;s nku ¼d Js.kh </t>
    </r>
    <r>
      <rPr>
        <sz val="11"/>
        <rFont val="Times New Roman"/>
        <family val="1"/>
      </rPr>
      <t>100%</t>
    </r>
    <r>
      <rPr>
        <sz val="13"/>
        <rFont val="DevLys 010"/>
      </rPr>
      <t xml:space="preserve"> ,oa [k Js.kh </t>
    </r>
    <r>
      <rPr>
        <sz val="11"/>
        <rFont val="Times New Roman"/>
        <family val="1"/>
      </rPr>
      <t>50%</t>
    </r>
    <r>
      <rPr>
        <sz val="13"/>
        <rFont val="DevLys 010"/>
      </rPr>
      <t>½</t>
    </r>
  </si>
  <si>
    <r>
      <t xml:space="preserve">30- /kkjk </t>
    </r>
    <r>
      <rPr>
        <sz val="11"/>
        <rFont val="Times New Roman"/>
        <family val="1"/>
      </rPr>
      <t>80E -</t>
    </r>
    <r>
      <rPr>
        <sz val="13"/>
        <rFont val="DevLys 010"/>
      </rPr>
      <t xml:space="preserve"> mPp f'k{kk gsrq fy, _.k dk C;kt</t>
    </r>
  </si>
  <si>
    <r>
      <t xml:space="preserve">27- /kkjk </t>
    </r>
    <r>
      <rPr>
        <sz val="11"/>
        <rFont val="Times New Roman"/>
        <family val="1"/>
      </rPr>
      <t>80D -</t>
    </r>
    <r>
      <rPr>
        <sz val="13"/>
        <rFont val="DevLys 010"/>
      </rPr>
      <t xml:space="preserve"> fpfdRlk chek izhfe;e ¼lkekU; 25000] ofj"B ukxfjd 50000½</t>
    </r>
  </si>
  <si>
    <r>
      <t xml:space="preserve">32- /kkjk </t>
    </r>
    <r>
      <rPr>
        <sz val="11"/>
        <rFont val="Times New Roman"/>
        <family val="1"/>
      </rPr>
      <t>80U -</t>
    </r>
    <r>
      <rPr>
        <sz val="13"/>
        <rFont val="DevLys 010"/>
      </rPr>
      <t xml:space="preserve"> LFkkbZ 'kkjhfjd fodykaxrk ¼vf/kdre</t>
    </r>
    <r>
      <rPr>
        <sz val="11"/>
        <rFont val="Times New Roman"/>
        <family val="1"/>
      </rPr>
      <t xml:space="preserve"> 75000, 80%</t>
    </r>
    <r>
      <rPr>
        <sz val="13"/>
        <rFont val="DevLys 010"/>
      </rPr>
      <t xml:space="preserve"> fodykaxrk </t>
    </r>
    <r>
      <rPr>
        <sz val="11"/>
        <rFont val="Times New Roman"/>
        <family val="1"/>
      </rPr>
      <t>125000</t>
    </r>
    <r>
      <rPr>
        <sz val="13"/>
        <rFont val="DevLys 010"/>
      </rPr>
      <t>½</t>
    </r>
  </si>
  <si>
    <r>
      <t xml:space="preserve">33- /kkjk </t>
    </r>
    <r>
      <rPr>
        <sz val="11"/>
        <rFont val="Times New Roman"/>
        <family val="1"/>
      </rPr>
      <t>80 GGA -</t>
    </r>
    <r>
      <rPr>
        <sz val="13"/>
        <rFont val="DevLys 010"/>
      </rPr>
      <t xml:space="preserve"> vuqeksfnr oSKkfud]lkekftd]xzkeh.k fodkl gsrq fn;k x;k nku</t>
    </r>
  </si>
  <si>
    <t>34- jkgr /kkjk 89 ds vUrxZr</t>
  </si>
  <si>
    <r>
      <t xml:space="preserve">35- osru fcy ds vykok tek djk;k x;k aavk;dj </t>
    </r>
    <r>
      <rPr>
        <sz val="11"/>
        <rFont val="Times New Roman"/>
        <family val="1"/>
      </rPr>
      <t>(TDS)</t>
    </r>
  </si>
  <si>
    <r>
      <t xml:space="preserve">15- jk"Vªh; cpr Ldhe </t>
    </r>
    <r>
      <rPr>
        <sz val="11"/>
        <rFont val="Times New Roman"/>
        <family val="1"/>
      </rPr>
      <t>(NSS)</t>
    </r>
  </si>
  <si>
    <r>
      <t xml:space="preserve">;ksx </t>
    </r>
    <r>
      <rPr>
        <sz val="10"/>
        <rFont val="Calibri"/>
        <family val="2"/>
        <scheme val="minor"/>
      </rPr>
      <t>11(A+B+C)</t>
    </r>
    <r>
      <rPr>
        <sz val="12"/>
        <rFont val="Arial"/>
        <family val="2"/>
      </rPr>
      <t xml:space="preserve">      </t>
    </r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</si>
  <si>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O;olk; dj /kkjk 16 </t>
    </r>
    <r>
      <rPr>
        <sz val="10"/>
        <rFont val="Calibri"/>
        <family val="2"/>
        <scheme val="minor"/>
      </rPr>
      <t>(iii)</t>
    </r>
    <r>
      <rPr>
        <sz val="12"/>
        <rFont val="DevLys 010"/>
      </rPr>
      <t xml:space="preserve"> ds vUrxrZ 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</si>
  <si>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>US 80C, 80CCC,80CCD (1)</t>
    </r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</si>
  <si>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Calibri"/>
        <family val="2"/>
        <scheme val="minor"/>
      </rPr>
      <t>80CCE</t>
    </r>
    <r>
      <rPr>
        <sz val="12"/>
        <rFont val="DevLys 010"/>
      </rPr>
      <t xml:space="preserve"> ½ ] ¼/kkjk </t>
    </r>
    <r>
      <rPr>
        <sz val="10"/>
        <rFont val="Calibri"/>
        <family val="2"/>
        <scheme val="minor"/>
      </rPr>
      <t>80CCD (2)</t>
    </r>
    <r>
      <rPr>
        <sz val="10"/>
        <rFont val="Arial"/>
        <family val="2"/>
      </rPr>
      <t>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</si>
  <si>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DA Arrear  </t>
  </si>
  <si>
    <t>22- vU; fofHkUu L=ks+= ¼C;kt ds vykok½ ls dqy vk;</t>
  </si>
  <si>
    <r>
      <t xml:space="preserve">2,50,000 </t>
    </r>
    <r>
      <rPr>
        <sz val="11"/>
        <rFont val="DevLys 010"/>
      </rPr>
      <t>rd</t>
    </r>
  </si>
  <si>
    <r>
      <t xml:space="preserve">3,00,000 </t>
    </r>
    <r>
      <rPr>
        <sz val="11"/>
        <rFont val="DevLys 010"/>
      </rPr>
      <t>rd</t>
    </r>
  </si>
  <si>
    <r>
      <t xml:space="preserve">5,00,000 </t>
    </r>
    <r>
      <rPr>
        <sz val="11"/>
        <rFont val="DevLys 010"/>
      </rPr>
      <t>rd</t>
    </r>
  </si>
  <si>
    <r>
      <rPr>
        <sz val="11"/>
        <rFont val="Calibri"/>
        <family val="2"/>
        <scheme val="minor"/>
      </rPr>
      <t>10,00,000</t>
    </r>
    <r>
      <rPr>
        <sz val="11"/>
        <rFont val="DevLys 010"/>
      </rPr>
      <t xml:space="preserve"> ls vf/kd</t>
    </r>
  </si>
  <si>
    <r>
      <t xml:space="preserve">10,00,000 </t>
    </r>
    <r>
      <rPr>
        <sz val="11"/>
        <rFont val="DevLys 010"/>
      </rPr>
      <t>ls vf/kd</t>
    </r>
  </si>
  <si>
    <t>Salary 02/2019</t>
  </si>
  <si>
    <t>36- /kkjk 10¼14½ ds vUrxZr HkÙks tks djeqDr gS</t>
  </si>
  <si>
    <r>
      <t xml:space="preserve">nks ;k nks ls vf/kd </t>
    </r>
    <r>
      <rPr>
        <sz val="12"/>
        <color rgb="FF0000FF"/>
        <rFont val="Calibri"/>
        <family val="2"/>
        <scheme val="minor"/>
      </rPr>
      <t xml:space="preserve">DDO </t>
    </r>
    <r>
      <rPr>
        <sz val="14"/>
        <color rgb="FF0000FF"/>
        <rFont val="DevLys 010"/>
      </rPr>
      <t xml:space="preserve">ds v/khu lsok gksus ij QkWeZ ua- 16 vyx vyx izkIr djus ds fy, </t>
    </r>
    <r>
      <rPr>
        <sz val="12"/>
        <color rgb="FF0000FF"/>
        <rFont val="Calibri"/>
        <family val="2"/>
        <scheme val="minor"/>
      </rPr>
      <t xml:space="preserve">GA 55 </t>
    </r>
    <r>
      <rPr>
        <sz val="14"/>
        <color rgb="FF0000FF"/>
        <rFont val="DevLys 010"/>
      </rPr>
      <t xml:space="preserve">vyx vyx rS;kj djuk gksxkA blds fy, 
</t>
    </r>
    <r>
      <rPr>
        <sz val="12"/>
        <color rgb="FF0000FF"/>
        <rFont val="Calibri"/>
        <family val="2"/>
        <scheme val="minor"/>
      </rPr>
      <t xml:space="preserve">GA </t>
    </r>
    <r>
      <rPr>
        <sz val="14"/>
        <color rgb="FF0000FF"/>
        <rFont val="DevLys 010"/>
      </rPr>
      <t xml:space="preserve">55 esa vko';d iwfrZ djrs gq, 'ks"k </t>
    </r>
    <r>
      <rPr>
        <sz val="12"/>
        <color rgb="FF0000FF"/>
        <rFont val="Calibri"/>
        <family val="2"/>
        <scheme val="minor"/>
      </rPr>
      <t xml:space="preserve">ROW </t>
    </r>
    <r>
      <rPr>
        <sz val="14"/>
        <color rgb="FF0000FF"/>
        <rFont val="DevLys 010"/>
      </rPr>
      <t xml:space="preserve">dks [kkyh NksM+ nsaA </t>
    </r>
    <r>
      <rPr>
        <sz val="12"/>
        <color rgb="FF0000FF"/>
        <rFont val="Calibri"/>
        <family val="2"/>
        <scheme val="minor"/>
      </rPr>
      <t>Other Deduction Sheet</t>
    </r>
    <r>
      <rPr>
        <sz val="14"/>
        <color rgb="FF0000FF"/>
        <rFont val="DevLys 010"/>
      </rPr>
      <t xml:space="preserve"> esa</t>
    </r>
    <r>
      <rPr>
        <sz val="12"/>
        <color rgb="FF0000FF"/>
        <rFont val="Calibri"/>
        <family val="2"/>
        <scheme val="minor"/>
      </rPr>
      <t xml:space="preserve">  Standard Deduction</t>
    </r>
    <r>
      <rPr>
        <sz val="14"/>
        <color rgb="FF0000FF"/>
        <rFont val="DevLys 010"/>
      </rPr>
      <t xml:space="preserve"> 0 ;k 50000 pqusaA </t>
    </r>
  </si>
  <si>
    <r>
      <t xml:space="preserve">If you have Hindi font problem, then first you should install Hindi font </t>
    </r>
    <r>
      <rPr>
        <b/>
        <sz val="14"/>
        <color rgb="FF0000FF"/>
        <rFont val="Times New Roman"/>
        <family val="1"/>
      </rPr>
      <t>Mfdev010.ttf</t>
    </r>
    <r>
      <rPr>
        <sz val="14"/>
        <rFont val="Times New Roman"/>
        <family val="1"/>
      </rPr>
      <t xml:space="preserve"> &amp; </t>
    </r>
    <r>
      <rPr>
        <b/>
        <sz val="14"/>
        <color rgb="FF0000FF"/>
        <rFont val="Times New Roman"/>
        <family val="1"/>
      </rPr>
      <t>DevLys010.ttf</t>
    </r>
    <r>
      <rPr>
        <b/>
        <sz val="14"/>
        <rFont val="Times New Roman"/>
        <family val="1"/>
      </rPr>
      <t xml:space="preserve"> </t>
    </r>
    <r>
      <rPr>
        <sz val="14"/>
        <rFont val="Times New Roman"/>
        <family val="1"/>
      </rPr>
      <t>in your computer.</t>
    </r>
  </si>
  <si>
    <r>
      <t xml:space="preserve">DA arrear </t>
    </r>
    <r>
      <rPr>
        <sz val="14"/>
        <rFont val="DevLys 010"/>
      </rPr>
      <t>esa</t>
    </r>
    <r>
      <rPr>
        <sz val="12"/>
        <rFont val="Calibri"/>
        <family val="2"/>
        <scheme val="minor"/>
      </rPr>
      <t xml:space="preserve"> PL Arrear </t>
    </r>
    <r>
      <rPr>
        <sz val="14"/>
        <rFont val="DevLys 010"/>
      </rPr>
      <t xml:space="preserve">Hkh tksM+k x;k gSA cksul ds uhps </t>
    </r>
    <r>
      <rPr>
        <sz val="12"/>
        <rFont val="Calibri"/>
        <family val="2"/>
        <scheme val="minor"/>
      </rPr>
      <t>Row Heading Cell Unlock</t>
    </r>
    <r>
      <rPr>
        <sz val="14"/>
        <rFont val="DevLys 010"/>
      </rPr>
      <t xml:space="preserve"> gS] budk uke ifjofrZr fd;k tk ldrk gSA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</si>
</sst>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2" x14ac:knownFonts="1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4"/>
      <name val="Times New Roman"/>
      <family val="1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sz val="16"/>
      <color theme="0"/>
      <name val="DevLys 010"/>
    </font>
    <font>
      <sz val="13"/>
      <color theme="0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6"/>
      <name val="DevLys 010"/>
    </font>
    <font>
      <b/>
      <sz val="20"/>
      <name val="Times New Roman"/>
      <family val="1"/>
    </font>
    <font>
      <b/>
      <sz val="16"/>
      <name val="Times New Roman"/>
      <family val="1"/>
    </font>
    <font>
      <sz val="15"/>
      <name val="DevLys 010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4"/>
      <name val="DevLys 010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9"/>
      <name val="Times New Roman"/>
      <family val="1"/>
    </font>
    <font>
      <b/>
      <sz val="11"/>
      <name val="DevLys 010"/>
    </font>
    <font>
      <b/>
      <sz val="14"/>
      <name val="Calibri"/>
      <family val="2"/>
      <scheme val="minor"/>
    </font>
    <font>
      <b/>
      <sz val="13"/>
      <color rgb="FF0000FF"/>
      <name val="DevLys 010"/>
    </font>
    <font>
      <sz val="18"/>
      <color theme="0"/>
      <name val="DevLys 010"/>
    </font>
    <font>
      <sz val="14"/>
      <color theme="0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color rgb="FF0000FF"/>
      <name val="Calibri"/>
      <family val="2"/>
      <scheme val="minor"/>
    </font>
    <font>
      <b/>
      <sz val="20"/>
      <color theme="0"/>
      <name val="DevLys 010"/>
    </font>
    <font>
      <b/>
      <sz val="16"/>
      <name val="Calibri"/>
      <family val="2"/>
      <scheme val="minor"/>
    </font>
    <font>
      <b/>
      <i/>
      <sz val="14"/>
      <name val="Times New Roman"/>
      <family val="1"/>
    </font>
    <font>
      <b/>
      <sz val="16"/>
      <color rgb="FF0000FF"/>
      <name val="DevLys 010"/>
    </font>
    <font>
      <b/>
      <sz val="14"/>
      <color rgb="FF0000FF"/>
      <name val="DevLys 010"/>
    </font>
    <font>
      <b/>
      <i/>
      <sz val="14"/>
      <color rgb="FF0000FF"/>
      <name val="Times New Roman"/>
      <family val="1"/>
    </font>
    <font>
      <b/>
      <sz val="18"/>
      <name val="DevLys 010"/>
    </font>
    <font>
      <b/>
      <sz val="18"/>
      <name val="Calibri"/>
      <family val="2"/>
      <scheme val="minor"/>
    </font>
    <font>
      <sz val="14"/>
      <name val="Times New Roman"/>
      <family val="1"/>
    </font>
    <font>
      <b/>
      <sz val="16"/>
      <color rgb="FF0000FF"/>
      <name val="Times New Roman"/>
      <family val="1"/>
    </font>
    <font>
      <b/>
      <sz val="14"/>
      <color rgb="FF0000FF"/>
      <name val="Calibri"/>
      <family val="2"/>
      <scheme val="minor"/>
    </font>
    <font>
      <sz val="9"/>
      <name val="DevLys 010 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i/>
      <sz val="16"/>
      <color rgb="FFFFFF00"/>
      <name val="Times New Roman"/>
      <family val="1"/>
    </font>
    <font>
      <sz val="11"/>
      <name val="Times New Roman"/>
      <family val="1"/>
    </font>
    <font>
      <b/>
      <sz val="10.5"/>
      <name val="Calibri"/>
      <family val="2"/>
      <scheme val="minor"/>
    </font>
    <font>
      <sz val="11"/>
      <name val="Arial"/>
      <family val="2"/>
    </font>
    <font>
      <b/>
      <i/>
      <sz val="11"/>
      <name val="Times New Roman"/>
      <family val="1"/>
    </font>
    <font>
      <i/>
      <sz val="11"/>
      <name val="Times New Roman"/>
      <family val="1"/>
    </font>
    <font>
      <sz val="14"/>
      <color rgb="FF0000FF"/>
      <name val="DevLys 010"/>
    </font>
    <font>
      <sz val="12"/>
      <color rgb="FF0000FF"/>
      <name val="Calibri"/>
      <family val="2"/>
      <scheme val="minor"/>
    </font>
    <font>
      <b/>
      <sz val="14"/>
      <color rgb="FF0000FF"/>
      <name val="Times New Roman"/>
      <family val="1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2E21D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9" tint="0.39997558519241921"/>
        <bgColor indexed="64"/>
      </patternFill>
    </fill>
  </fills>
  <borders count="4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4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</cellStyleXfs>
  <cellXfs count="348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0" fontId="0" fillId="0" borderId="0" xfId="0" applyAlignment="1">
      <alignment vertical="center"/>
    </xf>
    <xf numFmtId="0" fontId="42" fillId="0" borderId="0" xfId="0" applyNumberFormat="1" applyFont="1" applyFill="1" applyBorder="1" applyAlignment="1">
      <alignment horizontal="center" textRotation="90" wrapText="1"/>
    </xf>
    <xf numFmtId="0" fontId="33" fillId="0" borderId="0" xfId="0" applyNumberFormat="1" applyFont="1" applyFill="1" applyBorder="1" applyAlignment="1">
      <alignment vertical="center"/>
    </xf>
    <xf numFmtId="0" fontId="42" fillId="0" borderId="0" xfId="0" applyNumberFormat="1" applyFont="1" applyFill="1" applyBorder="1" applyAlignment="1">
      <alignment horizontal="center" vertical="center" textRotation="90"/>
    </xf>
    <xf numFmtId="0" fontId="32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0" fontId="26" fillId="0" borderId="0" xfId="0" applyNumberFormat="1" applyFont="1" applyFill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1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2" fontId="34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2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2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3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2" fillId="0" borderId="0" xfId="37" applyNumberFormat="1" applyFont="1" applyBorder="1" applyAlignment="1">
      <alignment horizontal="right" vertical="center"/>
    </xf>
    <xf numFmtId="0" fontId="50" fillId="0" borderId="0" xfId="37" applyFont="1" applyBorder="1" applyAlignment="1">
      <alignment horizontal="center" vertical="center"/>
    </xf>
    <xf numFmtId="0" fontId="42" fillId="0" borderId="10" xfId="0" applyNumberFormat="1" applyFont="1" applyBorder="1" applyAlignment="1" applyProtection="1">
      <alignment horizontal="center" vertical="center" textRotation="90"/>
      <protection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5" fillId="28" borderId="0" xfId="0" applyNumberFormat="1" applyFont="1" applyFill="1" applyBorder="1" applyAlignment="1">
      <alignment horizontal="left" vertical="top"/>
    </xf>
    <xf numFmtId="0" fontId="48" fillId="28" borderId="0" xfId="0" applyNumberFormat="1" applyFont="1" applyFill="1" applyBorder="1" applyAlignment="1">
      <alignment horizontal="left" vertical="top"/>
    </xf>
    <xf numFmtId="0" fontId="47" fillId="28" borderId="0" xfId="0" applyNumberFormat="1" applyFont="1" applyFill="1" applyBorder="1" applyAlignment="1" applyProtection="1">
      <alignment horizontal="center" vertical="center"/>
      <protection locked="0"/>
    </xf>
    <xf numFmtId="0" fontId="48" fillId="28" borderId="0" xfId="0" applyNumberFormat="1" applyFont="1" applyFill="1" applyBorder="1" applyAlignment="1">
      <alignment horizontal="left" vertical="top" indent="1"/>
    </xf>
    <xf numFmtId="0" fontId="55" fillId="28" borderId="0" xfId="0" applyNumberFormat="1" applyFont="1" applyFill="1" applyBorder="1" applyAlignment="1">
      <alignment horizontal="center"/>
    </xf>
    <xf numFmtId="0" fontId="45" fillId="28" borderId="0" xfId="0" applyNumberFormat="1" applyFont="1" applyFill="1" applyBorder="1" applyAlignment="1">
      <alignment horizontal="left" vertical="top"/>
    </xf>
    <xf numFmtId="0" fontId="26" fillId="28" borderId="0" xfId="0" applyNumberFormat="1" applyFont="1" applyFill="1" applyBorder="1" applyAlignment="1" applyProtection="1">
      <alignment horizontal="center" vertical="center"/>
      <protection locked="0"/>
    </xf>
    <xf numFmtId="0" fontId="5" fillId="28" borderId="0" xfId="0" applyNumberFormat="1" applyFont="1" applyFill="1" applyBorder="1" applyAlignment="1">
      <alignment vertical="top"/>
    </xf>
    <xf numFmtId="0" fontId="5" fillId="31" borderId="0" xfId="0" applyNumberFormat="1" applyFont="1" applyFill="1" applyBorder="1" applyAlignment="1">
      <alignment vertical="top"/>
    </xf>
    <xf numFmtId="0" fontId="5" fillId="31" borderId="0" xfId="0" applyNumberFormat="1" applyFont="1" applyFill="1" applyBorder="1" applyAlignment="1">
      <alignment horizontal="left" vertical="top"/>
    </xf>
    <xf numFmtId="0" fontId="45" fillId="31" borderId="0" xfId="0" applyNumberFormat="1" applyFont="1" applyFill="1" applyBorder="1" applyAlignment="1">
      <alignment horizontal="left" vertical="top"/>
    </xf>
    <xf numFmtId="1" fontId="3" fillId="26" borderId="0" xfId="0" applyNumberFormat="1" applyFont="1" applyFill="1" applyBorder="1" applyAlignment="1">
      <alignment horizontal="center" vertical="center"/>
    </xf>
    <xf numFmtId="1" fontId="3" fillId="25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Border="1" applyAlignment="1">
      <alignment vertical="center"/>
    </xf>
    <xf numFmtId="1" fontId="3" fillId="32" borderId="0" xfId="0" applyNumberFormat="1" applyFont="1" applyFill="1" applyBorder="1" applyAlignment="1">
      <alignment horizontal="center" vertical="center"/>
    </xf>
    <xf numFmtId="2" fontId="3" fillId="33" borderId="0" xfId="0" applyNumberFormat="1" applyFont="1" applyFill="1" applyBorder="1" applyAlignment="1">
      <alignment horizontal="center" vertical="center"/>
    </xf>
    <xf numFmtId="2" fontId="8" fillId="24" borderId="0" xfId="0" applyNumberFormat="1" applyFont="1" applyFill="1" applyBorder="1" applyAlignment="1">
      <alignment horizontal="left" indent="2"/>
    </xf>
    <xf numFmtId="0" fontId="29" fillId="28" borderId="0" xfId="0" applyNumberFormat="1" applyFont="1" applyFill="1" applyBorder="1" applyAlignment="1">
      <alignment vertical="top"/>
    </xf>
    <xf numFmtId="0" fontId="42" fillId="28" borderId="0" xfId="0" applyNumberFormat="1" applyFont="1" applyFill="1" applyBorder="1" applyAlignment="1">
      <alignment horizontal="center" textRotation="90" wrapText="1"/>
    </xf>
    <xf numFmtId="0" fontId="33" fillId="28" borderId="0" xfId="0" applyNumberFormat="1" applyFont="1" applyFill="1" applyBorder="1" applyAlignment="1">
      <alignment vertical="center"/>
    </xf>
    <xf numFmtId="0" fontId="42" fillId="28" borderId="0" xfId="0" applyNumberFormat="1" applyFont="1" applyFill="1" applyBorder="1" applyAlignment="1">
      <alignment horizontal="center" vertical="center" textRotation="90"/>
    </xf>
    <xf numFmtId="0" fontId="4" fillId="28" borderId="0" xfId="0" applyNumberFormat="1" applyFont="1" applyFill="1" applyBorder="1" applyAlignment="1">
      <alignment vertical="top" textRotation="90"/>
    </xf>
    <xf numFmtId="0" fontId="0" fillId="28" borderId="0" xfId="0" applyFill="1"/>
    <xf numFmtId="0" fontId="1" fillId="28" borderId="0" xfId="37" applyFont="1" applyFill="1"/>
    <xf numFmtId="0" fontId="28" fillId="28" borderId="0" xfId="37" applyFont="1" applyFill="1"/>
    <xf numFmtId="0" fontId="27" fillId="28" borderId="0" xfId="37" applyFont="1" applyFill="1" applyAlignment="1">
      <alignment horizontal="right"/>
    </xf>
    <xf numFmtId="0" fontId="28" fillId="28" borderId="0" xfId="37" applyFont="1" applyFill="1" applyAlignment="1">
      <alignment horizontal="right"/>
    </xf>
    <xf numFmtId="2" fontId="62" fillId="35" borderId="0" xfId="0" applyNumberFormat="1" applyFont="1" applyFill="1" applyBorder="1" applyAlignment="1">
      <alignment horizontal="left" vertical="center" wrapText="1" indent="1"/>
    </xf>
    <xf numFmtId="2" fontId="62" fillId="35" borderId="0" xfId="0" applyNumberFormat="1" applyFont="1" applyFill="1" applyBorder="1" applyAlignment="1">
      <alignment horizontal="left" vertical="center" indent="1"/>
    </xf>
    <xf numFmtId="2" fontId="62" fillId="35" borderId="0" xfId="0" applyNumberFormat="1" applyFont="1" applyFill="1" applyBorder="1" applyAlignment="1">
      <alignment horizontal="left" indent="1"/>
    </xf>
    <xf numFmtId="0" fontId="2" fillId="0" borderId="10" xfId="37" applyFont="1" applyBorder="1" applyAlignment="1">
      <alignment horizontal="center" vertical="center" wrapText="1"/>
    </xf>
    <xf numFmtId="0" fontId="58" fillId="31" borderId="0" xfId="0" applyNumberFormat="1" applyFont="1" applyFill="1" applyBorder="1" applyAlignment="1">
      <alignment vertical="center"/>
    </xf>
    <xf numFmtId="1" fontId="32" fillId="0" borderId="10" xfId="37" applyNumberFormat="1" applyFont="1" applyBorder="1" applyAlignment="1">
      <alignment horizontal="center" vertical="center" wrapText="1"/>
    </xf>
    <xf numFmtId="0" fontId="61" fillId="0" borderId="0" xfId="0" applyFont="1"/>
    <xf numFmtId="0" fontId="32" fillId="0" borderId="0" xfId="0" applyFont="1" applyAlignment="1"/>
    <xf numFmtId="0" fontId="0" fillId="34" borderId="22" xfId="0" applyFill="1" applyBorder="1" applyAlignment="1">
      <alignment horizontal="center" vertical="top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0" fillId="0" borderId="0" xfId="0" applyFill="1" applyAlignment="1">
      <alignment horizontal="center"/>
    </xf>
    <xf numFmtId="0" fontId="0" fillId="0" borderId="38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34" borderId="38" xfId="0" applyFill="1" applyBorder="1" applyAlignment="1">
      <alignment horizontal="center" vertical="top"/>
    </xf>
    <xf numFmtId="9" fontId="47" fillId="30" borderId="10" xfId="0" applyNumberFormat="1" applyFont="1" applyFill="1" applyBorder="1" applyAlignment="1" applyProtection="1">
      <alignment horizontal="center" vertical="center"/>
      <protection locked="0"/>
    </xf>
    <xf numFmtId="0" fontId="76" fillId="31" borderId="10" xfId="0" applyNumberFormat="1" applyFont="1" applyFill="1" applyBorder="1" applyAlignment="1">
      <alignment horizontal="center" vertical="top"/>
    </xf>
    <xf numFmtId="0" fontId="1" fillId="0" borderId="10" xfId="37" applyFont="1" applyBorder="1" applyAlignment="1">
      <alignment horizontal="right" vertical="center"/>
    </xf>
    <xf numFmtId="0" fontId="0" fillId="34" borderId="22" xfId="0" applyFill="1" applyBorder="1" applyAlignment="1">
      <alignment horizontal="center"/>
    </xf>
    <xf numFmtId="0" fontId="0" fillId="0" borderId="0" xfId="0" applyAlignment="1"/>
    <xf numFmtId="0" fontId="49" fillId="0" borderId="15" xfId="0" applyNumberFormat="1" applyFont="1" applyFill="1" applyBorder="1" applyAlignment="1">
      <alignment horizontal="center" textRotation="90" wrapText="1"/>
    </xf>
    <xf numFmtId="0" fontId="49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53" fillId="0" borderId="15" xfId="0" applyNumberFormat="1" applyFont="1" applyFill="1" applyBorder="1" applyAlignment="1">
      <alignment horizontal="center" textRotation="90" wrapText="1"/>
    </xf>
    <xf numFmtId="0" fontId="49" fillId="0" borderId="15" xfId="0" applyNumberFormat="1" applyFont="1" applyFill="1" applyBorder="1" applyAlignment="1" applyProtection="1">
      <alignment horizontal="center" textRotation="90" wrapText="1"/>
    </xf>
    <xf numFmtId="0" fontId="8" fillId="0" borderId="11" xfId="0" applyNumberFormat="1" applyFont="1" applyBorder="1" applyAlignment="1" applyProtection="1">
      <alignment vertical="top"/>
    </xf>
    <xf numFmtId="0" fontId="8" fillId="0" borderId="0" xfId="0" applyNumberFormat="1" applyFont="1" applyBorder="1" applyAlignment="1" applyProtection="1">
      <alignment vertical="top"/>
    </xf>
    <xf numFmtId="0" fontId="8" fillId="0" borderId="0" xfId="0" applyNumberFormat="1" applyFont="1" applyBorder="1" applyAlignment="1" applyProtection="1">
      <alignment horizontal="right" vertical="top"/>
    </xf>
    <xf numFmtId="2" fontId="62" fillId="39" borderId="0" xfId="0" applyNumberFormat="1" applyFont="1" applyFill="1" applyBorder="1" applyAlignment="1">
      <alignment horizontal="left" indent="1"/>
    </xf>
    <xf numFmtId="2" fontId="31" fillId="39" borderId="0" xfId="0" applyNumberFormat="1" applyFont="1" applyFill="1" applyBorder="1" applyAlignment="1" applyProtection="1">
      <alignment horizontal="left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2" fontId="79" fillId="0" borderId="10" xfId="37" applyNumberFormat="1" applyFont="1" applyBorder="1" applyAlignment="1">
      <alignment horizontal="center" vertical="center"/>
    </xf>
    <xf numFmtId="0" fontId="2" fillId="0" borderId="10" xfId="37" applyFont="1" applyBorder="1" applyAlignment="1">
      <alignment horizontal="right" vertical="center"/>
    </xf>
    <xf numFmtId="2" fontId="8" fillId="39" borderId="17" xfId="0" applyNumberFormat="1" applyFont="1" applyFill="1" applyBorder="1" applyAlignment="1">
      <alignment horizontal="left"/>
    </xf>
    <xf numFmtId="2" fontId="8" fillId="39" borderId="0" xfId="0" applyNumberFormat="1" applyFont="1" applyFill="1" applyBorder="1" applyAlignment="1">
      <alignment horizontal="left"/>
    </xf>
    <xf numFmtId="2" fontId="62" fillId="39" borderId="0" xfId="0" applyNumberFormat="1" applyFont="1" applyFill="1" applyBorder="1" applyAlignment="1">
      <alignment horizontal="left" vertical="center" indent="1"/>
    </xf>
    <xf numFmtId="2" fontId="62" fillId="39" borderId="0" xfId="0" applyNumberFormat="1" applyFont="1" applyFill="1" applyBorder="1" applyAlignment="1">
      <alignment horizontal="left" wrapText="1" indent="1"/>
    </xf>
    <xf numFmtId="2" fontId="32" fillId="0" borderId="0" xfId="0" applyNumberFormat="1" applyFont="1" applyBorder="1" applyAlignment="1"/>
    <xf numFmtId="1" fontId="32" fillId="0" borderId="0" xfId="0" applyNumberFormat="1" applyFont="1" applyBorder="1" applyAlignment="1">
      <alignment horizontal="center"/>
    </xf>
    <xf numFmtId="2" fontId="32" fillId="0" borderId="0" xfId="0" applyNumberFormat="1" applyFont="1" applyBorder="1" applyAlignment="1">
      <alignment horizontal="center" vertical="center"/>
    </xf>
    <xf numFmtId="2" fontId="31" fillId="39" borderId="0" xfId="0" applyNumberFormat="1" applyFont="1" applyFill="1" applyBorder="1" applyAlignment="1" applyProtection="1">
      <alignment horizontal="right" indent="1"/>
      <protection locked="0"/>
    </xf>
    <xf numFmtId="2" fontId="31" fillId="35" borderId="0" xfId="0" applyNumberFormat="1" applyFont="1" applyFill="1" applyBorder="1" applyAlignment="1" applyProtection="1">
      <alignment horizontal="right" vertical="center" indent="1"/>
      <protection locked="0"/>
    </xf>
    <xf numFmtId="2" fontId="31" fillId="35" borderId="0" xfId="0" applyNumberFormat="1" applyFont="1" applyFill="1" applyBorder="1" applyAlignment="1" applyProtection="1">
      <alignment horizontal="right" indent="1"/>
      <protection locked="0"/>
    </xf>
    <xf numFmtId="0" fontId="8" fillId="0" borderId="0" xfId="0" applyNumberFormat="1" applyFont="1" applyBorder="1" applyAlignment="1">
      <alignment horizontal="right" vertical="top"/>
    </xf>
    <xf numFmtId="2" fontId="32" fillId="0" borderId="0" xfId="0" applyNumberFormat="1" applyFont="1" applyBorder="1" applyAlignment="1">
      <alignment horizontal="center"/>
    </xf>
    <xf numFmtId="0" fontId="44" fillId="0" borderId="10" xfId="0" applyNumberFormat="1" applyFont="1" applyBorder="1" applyAlignment="1" applyProtection="1">
      <alignment horizontal="center" vertical="center"/>
      <protection locked="0" hidden="1"/>
    </xf>
    <xf numFmtId="0" fontId="79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0" xfId="0" applyNumberFormat="1" applyFont="1" applyFill="1" applyBorder="1" applyAlignment="1">
      <alignment horizontal="center" vertical="center"/>
    </xf>
    <xf numFmtId="0" fontId="44" fillId="0" borderId="10" xfId="0" applyNumberFormat="1" applyFont="1" applyFill="1" applyBorder="1" applyAlignment="1" applyProtection="1">
      <alignment vertical="center"/>
      <protection locked="0"/>
    </xf>
    <xf numFmtId="2" fontId="44" fillId="0" borderId="10" xfId="0" applyNumberFormat="1" applyFont="1" applyBorder="1" applyAlignment="1" applyProtection="1">
      <alignment horizontal="center" vertical="center"/>
      <protection hidden="1"/>
    </xf>
    <xf numFmtId="2" fontId="79" fillId="0" borderId="10" xfId="0" applyNumberFormat="1" applyFont="1" applyBorder="1" applyAlignment="1" applyProtection="1">
      <alignment horizontal="center" vertical="center"/>
      <protection hidden="1"/>
    </xf>
    <xf numFmtId="1" fontId="44" fillId="0" borderId="10" xfId="0" applyNumberFormat="1" applyFont="1" applyBorder="1" applyAlignment="1" applyProtection="1">
      <alignment horizontal="center" vertical="center"/>
      <protection locked="0" hidden="1"/>
    </xf>
    <xf numFmtId="0" fontId="31" fillId="0" borderId="10" xfId="0" applyNumberFormat="1" applyFont="1" applyBorder="1" applyAlignment="1" applyProtection="1">
      <alignment horizontal="center" vertical="center" textRotation="90"/>
      <protection hidden="1"/>
    </xf>
    <xf numFmtId="2" fontId="31" fillId="0" borderId="10" xfId="0" applyNumberFormat="1" applyFont="1" applyBorder="1" applyAlignment="1" applyProtection="1">
      <alignment horizontal="center" vertical="center" textRotation="90"/>
      <protection hidden="1"/>
    </xf>
    <xf numFmtId="0" fontId="31" fillId="0" borderId="10" xfId="0" applyNumberFormat="1" applyFont="1" applyBorder="1" applyAlignment="1">
      <alignment horizontal="center" vertical="center" textRotation="90"/>
    </xf>
    <xf numFmtId="17" fontId="79" fillId="0" borderId="10" xfId="0" applyNumberFormat="1" applyFont="1" applyBorder="1" applyAlignment="1">
      <alignment horizontal="center" vertical="center"/>
    </xf>
    <xf numFmtId="17" fontId="79" fillId="0" borderId="10" xfId="0" applyNumberFormat="1" applyFont="1" applyFill="1" applyBorder="1" applyAlignment="1" applyProtection="1">
      <alignment horizontal="center" vertical="center"/>
    </xf>
    <xf numFmtId="17" fontId="85" fillId="0" borderId="10" xfId="0" applyNumberFormat="1" applyFont="1" applyFill="1" applyBorder="1" applyAlignment="1" applyProtection="1">
      <alignment horizontal="center" vertical="center"/>
      <protection locked="0"/>
    </xf>
    <xf numFmtId="17" fontId="79" fillId="0" borderId="10" xfId="0" applyNumberFormat="1" applyFont="1" applyFill="1" applyBorder="1" applyAlignment="1" applyProtection="1">
      <alignment horizontal="center" vertical="center"/>
      <protection locked="0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5" fillId="0" borderId="10" xfId="37" applyNumberFormat="1" applyFont="1" applyBorder="1" applyAlignment="1">
      <alignment horizontal="center" vertical="center"/>
    </xf>
    <xf numFmtId="2" fontId="35" fillId="27" borderId="10" xfId="37" applyNumberFormat="1" applyFont="1" applyFill="1" applyBorder="1" applyAlignment="1">
      <alignment horizontal="center" vertical="center"/>
    </xf>
    <xf numFmtId="0" fontId="44" fillId="0" borderId="10" xfId="37" applyFont="1" applyBorder="1" applyAlignment="1">
      <alignment horizontal="center" vertical="center"/>
    </xf>
    <xf numFmtId="9" fontId="44" fillId="0" borderId="10" xfId="37" applyNumberFormat="1" applyFont="1" applyBorder="1" applyAlignment="1">
      <alignment horizontal="center" vertical="center"/>
    </xf>
    <xf numFmtId="17" fontId="79" fillId="0" borderId="10" xfId="0" applyNumberFormat="1" applyFont="1" applyBorder="1" applyAlignment="1" applyProtection="1">
      <alignment horizontal="center" vertical="center"/>
      <protection hidden="1"/>
    </xf>
    <xf numFmtId="0" fontId="53" fillId="0" borderId="10" xfId="0" applyNumberFormat="1" applyFont="1" applyFill="1" applyBorder="1" applyAlignment="1">
      <alignment horizontal="center" vertical="center" wrapText="1"/>
    </xf>
    <xf numFmtId="0" fontId="79" fillId="0" borderId="10" xfId="0" applyNumberFormat="1" applyFont="1" applyBorder="1" applyAlignment="1" applyProtection="1">
      <alignment horizontal="center" vertical="center"/>
      <protection locked="0" hidden="1"/>
    </xf>
    <xf numFmtId="0" fontId="87" fillId="0" borderId="0" xfId="0" applyNumberFormat="1" applyFont="1" applyBorder="1" applyAlignment="1">
      <alignment horizontal="center" vertical="top"/>
    </xf>
    <xf numFmtId="0" fontId="49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61" fillId="34" borderId="0" xfId="0" applyFont="1" applyFill="1" applyBorder="1" applyAlignment="1">
      <alignment horizontal="left" indent="1"/>
    </xf>
    <xf numFmtId="0" fontId="61" fillId="34" borderId="39" xfId="0" applyFont="1" applyFill="1" applyBorder="1" applyAlignment="1">
      <alignment horizontal="left" indent="1"/>
    </xf>
    <xf numFmtId="0" fontId="61" fillId="34" borderId="0" xfId="0" applyFont="1" applyFill="1" applyBorder="1" applyAlignment="1">
      <alignment horizontal="left" wrapText="1" indent="1"/>
    </xf>
    <xf numFmtId="0" fontId="61" fillId="34" borderId="39" xfId="0" applyFont="1" applyFill="1" applyBorder="1" applyAlignment="1">
      <alignment horizontal="left" wrapText="1" indent="1"/>
    </xf>
    <xf numFmtId="0" fontId="61" fillId="34" borderId="10" xfId="0" applyFont="1" applyFill="1" applyBorder="1" applyAlignment="1">
      <alignment horizontal="left" wrapText="1"/>
    </xf>
    <xf numFmtId="0" fontId="61" fillId="34" borderId="21" xfId="0" applyFont="1" applyFill="1" applyBorder="1" applyAlignment="1">
      <alignment horizontal="left" wrapText="1"/>
    </xf>
    <xf numFmtId="0" fontId="32" fillId="34" borderId="10" xfId="0" applyFont="1" applyFill="1" applyBorder="1" applyAlignment="1">
      <alignment horizontal="left" wrapText="1"/>
    </xf>
    <xf numFmtId="0" fontId="32" fillId="34" borderId="21" xfId="0" applyFont="1" applyFill="1" applyBorder="1" applyAlignment="1">
      <alignment horizontal="left" wrapText="1"/>
    </xf>
    <xf numFmtId="0" fontId="71" fillId="33" borderId="42" xfId="0" applyFont="1" applyFill="1" applyBorder="1" applyAlignment="1">
      <alignment horizontal="center" wrapText="1"/>
    </xf>
    <xf numFmtId="0" fontId="71" fillId="33" borderId="13" xfId="0" applyFont="1" applyFill="1" applyBorder="1" applyAlignment="1">
      <alignment horizontal="center" wrapText="1"/>
    </xf>
    <xf numFmtId="0" fontId="71" fillId="33" borderId="26" xfId="0" applyFont="1" applyFill="1" applyBorder="1" applyAlignment="1">
      <alignment horizontal="center" wrapText="1"/>
    </xf>
    <xf numFmtId="0" fontId="61" fillId="34" borderId="12" xfId="0" applyFont="1" applyFill="1" applyBorder="1" applyAlignment="1">
      <alignment horizontal="left" wrapText="1"/>
    </xf>
    <xf numFmtId="0" fontId="61" fillId="34" borderId="13" xfId="0" applyFont="1" applyFill="1" applyBorder="1" applyAlignment="1">
      <alignment horizontal="left" wrapText="1"/>
    </xf>
    <xf numFmtId="0" fontId="61" fillId="34" borderId="26" xfId="0" applyFont="1" applyFill="1" applyBorder="1" applyAlignment="1">
      <alignment horizontal="left" wrapText="1"/>
    </xf>
    <xf numFmtId="0" fontId="89" fillId="34" borderId="17" xfId="0" applyFont="1" applyFill="1" applyBorder="1" applyAlignment="1">
      <alignment horizontal="left" vertical="top" wrapText="1"/>
    </xf>
    <xf numFmtId="0" fontId="89" fillId="34" borderId="17" xfId="0" applyFont="1" applyFill="1" applyBorder="1" applyAlignment="1">
      <alignment horizontal="left" vertical="top"/>
    </xf>
    <xf numFmtId="0" fontId="89" fillId="34" borderId="46" xfId="0" applyFont="1" applyFill="1" applyBorder="1" applyAlignment="1">
      <alignment horizontal="left" vertical="top"/>
    </xf>
    <xf numFmtId="0" fontId="89" fillId="34" borderId="11" xfId="0" applyFont="1" applyFill="1" applyBorder="1" applyAlignment="1">
      <alignment horizontal="left" vertical="top"/>
    </xf>
    <xf numFmtId="0" fontId="89" fillId="34" borderId="41" xfId="0" applyFont="1" applyFill="1" applyBorder="1" applyAlignment="1">
      <alignment horizontal="left" vertical="top"/>
    </xf>
    <xf numFmtId="0" fontId="0" fillId="34" borderId="23" xfId="0" applyFill="1" applyBorder="1" applyAlignment="1">
      <alignment horizontal="center" vertical="top"/>
    </xf>
    <xf numFmtId="0" fontId="0" fillId="34" borderId="25" xfId="0" applyFill="1" applyBorder="1" applyAlignment="1">
      <alignment horizontal="center" vertical="top"/>
    </xf>
    <xf numFmtId="2" fontId="70" fillId="35" borderId="43" xfId="0" applyNumberFormat="1" applyFont="1" applyFill="1" applyBorder="1" applyAlignment="1">
      <alignment horizontal="center" vertical="center" wrapText="1"/>
    </xf>
    <xf numFmtId="2" fontId="70" fillId="35" borderId="44" xfId="0" applyNumberFormat="1" applyFont="1" applyFill="1" applyBorder="1" applyAlignment="1">
      <alignment horizontal="center" vertical="center" wrapText="1"/>
    </xf>
    <xf numFmtId="2" fontId="70" fillId="35" borderId="45" xfId="0" applyNumberFormat="1" applyFont="1" applyFill="1" applyBorder="1" applyAlignment="1">
      <alignment horizontal="center" vertical="center" wrapText="1"/>
    </xf>
    <xf numFmtId="0" fontId="73" fillId="30" borderId="35" xfId="0" applyFont="1" applyFill="1" applyBorder="1" applyAlignment="1">
      <alignment horizontal="center" vertical="center"/>
    </xf>
    <xf numFmtId="0" fontId="73" fillId="30" borderId="36" xfId="0" applyFont="1" applyFill="1" applyBorder="1" applyAlignment="1">
      <alignment horizontal="center" vertical="center"/>
    </xf>
    <xf numFmtId="0" fontId="73" fillId="30" borderId="37" xfId="0" applyFont="1" applyFill="1" applyBorder="1" applyAlignment="1">
      <alignment horizontal="center" vertical="center"/>
    </xf>
    <xf numFmtId="0" fontId="26" fillId="38" borderId="38" xfId="0" applyFont="1" applyFill="1" applyBorder="1" applyAlignment="1">
      <alignment horizontal="center"/>
    </xf>
    <xf numFmtId="0" fontId="26" fillId="38" borderId="0" xfId="0" applyFont="1" applyFill="1" applyBorder="1" applyAlignment="1">
      <alignment horizontal="center"/>
    </xf>
    <xf numFmtId="0" fontId="26" fillId="38" borderId="39" xfId="0" applyFont="1" applyFill="1" applyBorder="1" applyAlignment="1">
      <alignment horizontal="center"/>
    </xf>
    <xf numFmtId="0" fontId="75" fillId="34" borderId="38" xfId="0" applyFont="1" applyFill="1" applyBorder="1" applyAlignment="1">
      <alignment horizontal="center" vertical="center"/>
    </xf>
    <xf numFmtId="0" fontId="75" fillId="34" borderId="0" xfId="0" applyFont="1" applyFill="1" applyBorder="1" applyAlignment="1">
      <alignment horizontal="center" vertical="center"/>
    </xf>
    <xf numFmtId="0" fontId="75" fillId="34" borderId="39" xfId="0" applyFont="1" applyFill="1" applyBorder="1" applyAlignment="1">
      <alignment horizontal="center" vertical="center"/>
    </xf>
    <xf numFmtId="0" fontId="57" fillId="28" borderId="40" xfId="0" applyFont="1" applyFill="1" applyBorder="1" applyAlignment="1">
      <alignment horizontal="left" indent="3"/>
    </xf>
    <xf numFmtId="0" fontId="57" fillId="28" borderId="11" xfId="0" applyFont="1" applyFill="1" applyBorder="1" applyAlignment="1">
      <alignment horizontal="left" indent="3"/>
    </xf>
    <xf numFmtId="0" fontId="57" fillId="28" borderId="41" xfId="0" applyFont="1" applyFill="1" applyBorder="1" applyAlignment="1">
      <alignment horizontal="left" indent="3"/>
    </xf>
    <xf numFmtId="0" fontId="57" fillId="28" borderId="42" xfId="0" applyFont="1" applyFill="1" applyBorder="1" applyAlignment="1">
      <alignment horizontal="left" indent="3"/>
    </xf>
    <xf numFmtId="0" fontId="57" fillId="28" borderId="13" xfId="0" applyFont="1" applyFill="1" applyBorder="1" applyAlignment="1">
      <alignment horizontal="left" indent="3"/>
    </xf>
    <xf numFmtId="0" fontId="57" fillId="28" borderId="26" xfId="0" applyFont="1" applyFill="1" applyBorder="1" applyAlignment="1">
      <alignment horizontal="left" indent="3"/>
    </xf>
    <xf numFmtId="0" fontId="57" fillId="28" borderId="42" xfId="0" applyFont="1" applyFill="1" applyBorder="1" applyAlignment="1">
      <alignment horizontal="left" indent="4"/>
    </xf>
    <xf numFmtId="0" fontId="57" fillId="28" borderId="13" xfId="0" applyFont="1" applyFill="1" applyBorder="1" applyAlignment="1">
      <alignment horizontal="left" indent="4"/>
    </xf>
    <xf numFmtId="0" fontId="57" fillId="28" borderId="26" xfId="0" applyFont="1" applyFill="1" applyBorder="1" applyAlignment="1">
      <alignment horizontal="left" indent="4"/>
    </xf>
    <xf numFmtId="0" fontId="32" fillId="34" borderId="12" xfId="0" applyFont="1" applyFill="1" applyBorder="1" applyAlignment="1">
      <alignment horizontal="left" wrapText="1"/>
    </xf>
    <xf numFmtId="0" fontId="32" fillId="34" borderId="13" xfId="0" applyFont="1" applyFill="1" applyBorder="1" applyAlignment="1">
      <alignment horizontal="left" wrapText="1"/>
    </xf>
    <xf numFmtId="0" fontId="32" fillId="34" borderId="26" xfId="0" applyFont="1" applyFill="1" applyBorder="1" applyAlignment="1">
      <alignment horizontal="left" wrapText="1"/>
    </xf>
    <xf numFmtId="0" fontId="61" fillId="34" borderId="10" xfId="0" applyFont="1" applyFill="1" applyBorder="1" applyAlignment="1">
      <alignment horizontal="left"/>
    </xf>
    <xf numFmtId="0" fontId="61" fillId="34" borderId="21" xfId="0" applyFont="1" applyFill="1" applyBorder="1" applyAlignment="1">
      <alignment horizontal="left"/>
    </xf>
    <xf numFmtId="0" fontId="61" fillId="34" borderId="12" xfId="0" applyFont="1" applyFill="1" applyBorder="1" applyAlignment="1">
      <alignment horizontal="left"/>
    </xf>
    <xf numFmtId="0" fontId="61" fillId="34" borderId="13" xfId="0" applyFont="1" applyFill="1" applyBorder="1" applyAlignment="1">
      <alignment horizontal="left"/>
    </xf>
    <xf numFmtId="0" fontId="61" fillId="34" borderId="26" xfId="0" applyFont="1" applyFill="1" applyBorder="1" applyAlignment="1">
      <alignment horizontal="left"/>
    </xf>
    <xf numFmtId="0" fontId="88" fillId="0" borderId="0" xfId="0" applyNumberFormat="1" applyFont="1" applyFill="1" applyBorder="1" applyAlignment="1">
      <alignment horizontal="center" vertical="top"/>
    </xf>
    <xf numFmtId="0" fontId="47" fillId="30" borderId="10" xfId="0" applyNumberFormat="1" applyFont="1" applyFill="1" applyBorder="1" applyAlignment="1" applyProtection="1">
      <alignment horizontal="center" vertical="center"/>
      <protection locked="0"/>
    </xf>
    <xf numFmtId="0" fontId="58" fillId="31" borderId="34" xfId="0" applyNumberFormat="1" applyFont="1" applyFill="1" applyBorder="1" applyAlignment="1">
      <alignment horizontal="center" vertical="center"/>
    </xf>
    <xf numFmtId="0" fontId="58" fillId="31" borderId="0" xfId="0" applyNumberFormat="1" applyFont="1" applyFill="1" applyBorder="1" applyAlignment="1">
      <alignment horizontal="center" vertical="center"/>
    </xf>
    <xf numFmtId="0" fontId="58" fillId="31" borderId="0" xfId="0" applyNumberFormat="1" applyFont="1" applyFill="1" applyBorder="1" applyAlignment="1">
      <alignment horizontal="left" vertical="center" indent="1"/>
    </xf>
    <xf numFmtId="0" fontId="8" fillId="0" borderId="0" xfId="0" applyNumberFormat="1" applyFont="1" applyBorder="1" applyAlignment="1" applyProtection="1">
      <alignment horizontal="left" vertical="top" indent="1"/>
      <protection locked="0"/>
    </xf>
    <xf numFmtId="0" fontId="8" fillId="0" borderId="11" xfId="0" applyNumberFormat="1" applyFont="1" applyBorder="1" applyAlignment="1" applyProtection="1">
      <alignment horizontal="left" vertical="top"/>
      <protection locked="0"/>
    </xf>
    <xf numFmtId="0" fontId="8" fillId="0" borderId="11" xfId="0" applyNumberFormat="1" applyFont="1" applyBorder="1" applyAlignment="1" applyProtection="1">
      <alignment horizontal="center" vertical="top"/>
    </xf>
    <xf numFmtId="49" fontId="8" fillId="0" borderId="11" xfId="0" applyNumberFormat="1" applyFont="1" applyBorder="1" applyAlignment="1" applyProtection="1">
      <alignment horizontal="center" vertical="top"/>
      <protection locked="0"/>
    </xf>
    <xf numFmtId="0" fontId="46" fillId="0" borderId="0" xfId="0" applyNumberFormat="1" applyFont="1" applyBorder="1" applyAlignment="1" applyProtection="1">
      <alignment horizontal="center" vertical="top"/>
      <protection locked="0"/>
    </xf>
    <xf numFmtId="0" fontId="47" fillId="0" borderId="0" xfId="0" applyNumberFormat="1" applyFont="1" applyFill="1" applyBorder="1" applyAlignment="1">
      <alignment horizontal="center" vertical="top"/>
    </xf>
    <xf numFmtId="49" fontId="8" fillId="0" borderId="0" xfId="0" applyNumberFormat="1" applyFont="1" applyBorder="1" applyAlignment="1" applyProtection="1">
      <alignment horizontal="left" vertical="center"/>
      <protection locked="0"/>
    </xf>
    <xf numFmtId="0" fontId="8" fillId="0" borderId="0" xfId="0" applyNumberFormat="1" applyFont="1" applyBorder="1" applyAlignment="1">
      <alignment horizontal="right" vertical="top" indent="1"/>
    </xf>
    <xf numFmtId="0" fontId="58" fillId="31" borderId="33" xfId="0" applyNumberFormat="1" applyFont="1" applyFill="1" applyBorder="1" applyAlignment="1">
      <alignment horizontal="left" vertical="center" indent="1"/>
    </xf>
    <xf numFmtId="0" fontId="55" fillId="30" borderId="10" xfId="0" applyNumberFormat="1" applyFont="1" applyFill="1" applyBorder="1" applyAlignment="1" applyProtection="1">
      <alignment horizontal="center"/>
      <protection locked="0"/>
    </xf>
    <xf numFmtId="0" fontId="58" fillId="31" borderId="34" xfId="0" applyNumberFormat="1" applyFont="1" applyFill="1" applyBorder="1" applyAlignment="1">
      <alignment horizontal="left" vertical="center" indent="1"/>
    </xf>
    <xf numFmtId="0" fontId="71" fillId="31" borderId="0" xfId="0" applyNumberFormat="1" applyFont="1" applyFill="1" applyBorder="1" applyAlignment="1">
      <alignment horizontal="center" vertical="top"/>
    </xf>
    <xf numFmtId="0" fontId="8" fillId="0" borderId="0" xfId="0" applyNumberFormat="1" applyFont="1" applyBorder="1" applyAlignment="1">
      <alignment horizontal="right" vertical="top"/>
    </xf>
    <xf numFmtId="0" fontId="8" fillId="0" borderId="0" xfId="0" applyNumberFormat="1" applyFont="1" applyBorder="1" applyAlignment="1" applyProtection="1">
      <alignment horizontal="left" vertical="center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11" xfId="0" applyNumberFormat="1" applyFont="1" applyBorder="1" applyAlignment="1" applyProtection="1">
      <alignment horizontal="left" vertical="top" wrapText="1"/>
      <protection locked="0"/>
    </xf>
    <xf numFmtId="0" fontId="8" fillId="0" borderId="11" xfId="0" applyNumberFormat="1" applyFont="1" applyBorder="1" applyAlignment="1" applyProtection="1">
      <alignment horizontal="right" vertical="top"/>
    </xf>
    <xf numFmtId="2" fontId="36" fillId="29" borderId="0" xfId="0" applyNumberFormat="1" applyFont="1" applyFill="1" applyBorder="1" applyAlignment="1">
      <alignment horizontal="center" vertical="center" wrapText="1"/>
    </xf>
    <xf numFmtId="2" fontId="36" fillId="29" borderId="0" xfId="0" applyNumberFormat="1" applyFont="1" applyFill="1" applyBorder="1" applyAlignment="1">
      <alignment horizontal="center" vertical="center"/>
    </xf>
    <xf numFmtId="2" fontId="67" fillId="37" borderId="0" xfId="0" applyNumberFormat="1" applyFont="1" applyFill="1" applyBorder="1" applyAlignment="1">
      <alignment horizontal="center" vertical="center"/>
    </xf>
    <xf numFmtId="2" fontId="83" fillId="36" borderId="11" xfId="0" applyNumberFormat="1" applyFont="1" applyFill="1" applyBorder="1" applyAlignment="1">
      <alignment horizontal="center" vertical="center"/>
    </xf>
    <xf numFmtId="1" fontId="3" fillId="32" borderId="0" xfId="0" applyNumberFormat="1" applyFont="1" applyFill="1" applyBorder="1" applyAlignment="1">
      <alignment horizontal="center" vertical="center" wrapText="1"/>
    </xf>
    <xf numFmtId="1" fontId="56" fillId="33" borderId="0" xfId="0" applyNumberFormat="1" applyFont="1" applyFill="1" applyBorder="1" applyAlignment="1">
      <alignment horizontal="center" vertical="center" wrapTex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8" fillId="33" borderId="0" xfId="0" applyNumberFormat="1" applyFont="1" applyFill="1" applyBorder="1" applyAlignment="1">
      <alignment horizontal="center" vertical="center"/>
    </xf>
    <xf numFmtId="0" fontId="1" fillId="0" borderId="48" xfId="37" applyFont="1" applyBorder="1" applyAlignment="1">
      <alignment horizontal="center" vertical="center"/>
    </xf>
    <xf numFmtId="0" fontId="1" fillId="0" borderId="15" xfId="37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22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2" fillId="0" borderId="12" xfId="37" applyNumberFormat="1" applyFont="1" applyBorder="1" applyAlignment="1">
      <alignment horizontal="center" vertical="center"/>
    </xf>
    <xf numFmtId="2" fontId="32" fillId="0" borderId="13" xfId="37" applyNumberFormat="1" applyFont="1" applyBorder="1" applyAlignment="1">
      <alignment horizontal="center" vertical="center"/>
    </xf>
    <xf numFmtId="2" fontId="32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54" fillId="0" borderId="0" xfId="37" applyFont="1" applyFill="1" applyAlignment="1">
      <alignment horizontal="center"/>
    </xf>
    <xf numFmtId="2" fontId="32" fillId="0" borderId="10" xfId="37" applyNumberFormat="1" applyFont="1" applyBorder="1" applyAlignment="1">
      <alignment horizontal="center" vertical="center"/>
    </xf>
    <xf numFmtId="0" fontId="1" fillId="0" borderId="10" xfId="37" applyFont="1" applyFill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12" xfId="37" applyFont="1" applyFill="1" applyBorder="1" applyAlignment="1">
      <alignment horizontal="right" vertical="center" indent="1"/>
    </xf>
    <xf numFmtId="0" fontId="2" fillId="0" borderId="13" xfId="37" applyFont="1" applyFill="1" applyBorder="1" applyAlignment="1">
      <alignment horizontal="right" vertical="center" indent="1"/>
    </xf>
    <xf numFmtId="0" fontId="2" fillId="0" borderId="14" xfId="37" applyFont="1" applyFill="1" applyBorder="1" applyAlignment="1">
      <alignment horizontal="right" vertical="center" indent="1"/>
    </xf>
    <xf numFmtId="0" fontId="1" fillId="0" borderId="10" xfId="37" applyFont="1" applyFill="1" applyBorder="1" applyAlignment="1">
      <alignment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0" xfId="37" applyFont="1" applyBorder="1" applyAlignment="1">
      <alignment horizontal="right" vertical="center" indent="1"/>
    </xf>
    <xf numFmtId="0" fontId="38" fillId="0" borderId="18" xfId="37" applyFont="1" applyFill="1" applyBorder="1" applyAlignment="1">
      <alignment horizontal="center" vertical="center" wrapText="1"/>
    </xf>
    <xf numFmtId="0" fontId="38" fillId="0" borderId="17" xfId="37" applyFont="1" applyFill="1" applyBorder="1" applyAlignment="1">
      <alignment horizontal="center" vertical="center" wrapText="1"/>
    </xf>
    <xf numFmtId="0" fontId="38" fillId="0" borderId="19" xfId="37" applyFont="1" applyFill="1" applyBorder="1" applyAlignment="1">
      <alignment horizontal="center" vertical="center" wrapText="1"/>
    </xf>
    <xf numFmtId="0" fontId="38" fillId="0" borderId="16" xfId="37" applyFont="1" applyFill="1" applyBorder="1" applyAlignment="1">
      <alignment horizontal="center" vertical="center" wrapText="1"/>
    </xf>
    <xf numFmtId="0" fontId="38" fillId="0" borderId="11" xfId="37" applyFont="1" applyFill="1" applyBorder="1" applyAlignment="1">
      <alignment horizontal="center" vertical="center" wrapText="1"/>
    </xf>
    <xf numFmtId="0" fontId="38" fillId="0" borderId="20" xfId="37" applyFont="1" applyFill="1" applyBorder="1" applyAlignment="1">
      <alignment horizontal="center" vertical="center" wrapText="1"/>
    </xf>
    <xf numFmtId="0" fontId="29" fillId="0" borderId="48" xfId="37" applyFont="1" applyBorder="1" applyAlignment="1">
      <alignment horizontal="center" vertical="top"/>
    </xf>
    <xf numFmtId="0" fontId="29" fillId="0" borderId="15" xfId="37" applyFont="1" applyBorder="1" applyAlignment="1">
      <alignment horizontal="center" vertical="top"/>
    </xf>
    <xf numFmtId="2" fontId="35" fillId="0" borderId="48" xfId="37" applyNumberFormat="1" applyFont="1" applyBorder="1" applyAlignment="1" applyProtection="1">
      <alignment horizontal="center" vertical="center"/>
      <protection hidden="1"/>
    </xf>
    <xf numFmtId="2" fontId="35" fillId="0" borderId="15" xfId="37" applyNumberFormat="1" applyFont="1" applyBorder="1" applyAlignment="1" applyProtection="1">
      <alignment horizontal="center" vertical="center"/>
      <protection hidden="1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2" fillId="0" borderId="12" xfId="37" applyFont="1" applyBorder="1" applyAlignment="1">
      <alignment horizontal="right" vertical="center"/>
    </xf>
    <xf numFmtId="0" fontId="2" fillId="0" borderId="13" xfId="37" applyFont="1" applyBorder="1" applyAlignment="1">
      <alignment horizontal="right" vertical="center"/>
    </xf>
    <xf numFmtId="0" fontId="2" fillId="0" borderId="14" xfId="37" applyFont="1" applyBorder="1" applyAlignment="1">
      <alignment horizontal="right" vertical="center"/>
    </xf>
    <xf numFmtId="0" fontId="2" fillId="0" borderId="12" xfId="37" applyFont="1" applyBorder="1" applyAlignment="1">
      <alignment horizontal="right" vertical="center" indent="1"/>
    </xf>
    <xf numFmtId="0" fontId="2" fillId="0" borderId="13" xfId="37" applyFont="1" applyBorder="1" applyAlignment="1">
      <alignment horizontal="right" vertical="center" indent="1"/>
    </xf>
    <xf numFmtId="0" fontId="2" fillId="0" borderId="14" xfId="37" applyFont="1" applyBorder="1" applyAlignment="1">
      <alignment horizontal="right" vertical="center" indent="1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46" xfId="37" applyFont="1" applyBorder="1" applyAlignment="1">
      <alignment horizontal="center" vertical="center"/>
    </xf>
    <xf numFmtId="0" fontId="1" fillId="0" borderId="34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51" fillId="0" borderId="0" xfId="37" applyFont="1" applyAlignment="1">
      <alignment horizontal="center" vertical="center"/>
    </xf>
    <xf numFmtId="0" fontId="81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5" fillId="0" borderId="32" xfId="37" applyFont="1" applyFill="1" applyBorder="1" applyAlignment="1">
      <alignment horizontal="left" vertical="center"/>
    </xf>
    <xf numFmtId="0" fontId="35" fillId="0" borderId="47" xfId="37" applyFont="1" applyFill="1" applyBorder="1" applyAlignment="1">
      <alignment horizontal="left" vertical="center"/>
    </xf>
    <xf numFmtId="0" fontId="1" fillId="0" borderId="15" xfId="37" applyFont="1" applyBorder="1" applyAlignment="1">
      <alignment horizontal="left" vertical="center"/>
    </xf>
    <xf numFmtId="0" fontId="2" fillId="0" borderId="10" xfId="37" applyFont="1" applyBorder="1" applyAlignment="1">
      <alignment horizontal="right" vertical="center" indent="1"/>
    </xf>
    <xf numFmtId="0" fontId="35" fillId="0" borderId="32" xfId="38" applyFont="1" applyFill="1" applyBorder="1" applyAlignment="1">
      <alignment horizontal="left" vertical="center"/>
    </xf>
    <xf numFmtId="0" fontId="0" fillId="0" borderId="46" xfId="0" applyBorder="1"/>
    <xf numFmtId="0" fontId="0" fillId="0" borderId="34" xfId="0" applyBorder="1"/>
    <xf numFmtId="0" fontId="0" fillId="0" borderId="39" xfId="0" applyBorder="1"/>
    <xf numFmtId="0" fontId="0" fillId="0" borderId="16" xfId="0" applyBorder="1"/>
    <xf numFmtId="0" fontId="0" fillId="0" borderId="41" xfId="0" applyBorder="1"/>
    <xf numFmtId="9" fontId="44" fillId="0" borderId="10" xfId="37" applyNumberFormat="1" applyFont="1" applyBorder="1" applyAlignment="1">
      <alignment horizontal="center" vertical="center"/>
    </xf>
    <xf numFmtId="0" fontId="44" fillId="0" borderId="10" xfId="37" applyFont="1" applyBorder="1" applyAlignment="1">
      <alignment horizontal="center" vertical="center"/>
    </xf>
    <xf numFmtId="0" fontId="44" fillId="0" borderId="12" xfId="37" applyFont="1" applyBorder="1" applyAlignment="1">
      <alignment horizontal="center" vertical="center"/>
    </xf>
    <xf numFmtId="0" fontId="44" fillId="0" borderId="13" xfId="37" applyFont="1" applyBorder="1" applyAlignment="1">
      <alignment horizontal="center" vertical="center"/>
    </xf>
    <xf numFmtId="0" fontId="44" fillId="0" borderId="14" xfId="37" applyFont="1" applyBorder="1" applyAlignment="1">
      <alignment horizontal="center" vertical="center"/>
    </xf>
    <xf numFmtId="0" fontId="32" fillId="0" borderId="10" xfId="37" applyFont="1" applyBorder="1" applyAlignment="1">
      <alignment horizontal="center" vertical="center" wrapText="1"/>
    </xf>
    <xf numFmtId="2" fontId="32" fillId="0" borderId="12" xfId="37" applyNumberFormat="1" applyFont="1" applyBorder="1" applyAlignment="1">
      <alignment horizontal="right" vertical="center" wrapText="1"/>
    </xf>
    <xf numFmtId="2" fontId="32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43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56" fillId="0" borderId="10" xfId="37" applyFont="1" applyBorder="1" applyAlignment="1">
      <alignment horizontal="center" vertical="center"/>
    </xf>
    <xf numFmtId="0" fontId="56" fillId="0" borderId="12" xfId="37" applyFont="1" applyBorder="1" applyAlignment="1">
      <alignment horizontal="center" vertical="center"/>
    </xf>
    <xf numFmtId="0" fontId="56" fillId="0" borderId="13" xfId="37" applyFont="1" applyBorder="1" applyAlignment="1">
      <alignment horizontal="center" vertical="center"/>
    </xf>
    <xf numFmtId="0" fontId="56" fillId="0" borderId="14" xfId="37" applyFont="1" applyBorder="1" applyAlignment="1">
      <alignment horizontal="center" vertical="center"/>
    </xf>
    <xf numFmtId="0" fontId="86" fillId="0" borderId="12" xfId="37" applyFont="1" applyBorder="1" applyAlignment="1">
      <alignment horizontal="center" vertical="center"/>
    </xf>
    <xf numFmtId="0" fontId="86" fillId="0" borderId="13" xfId="37" applyFont="1" applyBorder="1" applyAlignment="1">
      <alignment horizontal="center" vertical="center"/>
    </xf>
    <xf numFmtId="0" fontId="86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80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1" fillId="0" borderId="10" xfId="37" applyFont="1" applyBorder="1" applyAlignment="1">
      <alignment horizontal="right" vertical="center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right" indent="1"/>
    </xf>
    <xf numFmtId="0" fontId="1" fillId="0" borderId="13" xfId="37" applyFont="1" applyBorder="1" applyAlignment="1">
      <alignment horizontal="right" indent="1"/>
    </xf>
    <xf numFmtId="0" fontId="1" fillId="0" borderId="14" xfId="37" applyFont="1" applyBorder="1" applyAlignment="1">
      <alignment horizontal="right" indent="1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5000000}"/>
    <cellStyle name="Normal_pay 2008-09" xfId="38" xr:uid="{00000000-0005-0000-0000-000026000000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6"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CCFFCC"/>
      <color rgb="FF00FF00"/>
      <color rgb="FFFF99CC"/>
      <color rgb="FFFF66CC"/>
      <color rgb="FFFFFF00"/>
      <color rgb="FF33CCCC"/>
      <color rgb="FFFFCC99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99531</xdr:colOff>
      <xdr:row>0</xdr:row>
      <xdr:rowOff>73738</xdr:rowOff>
    </xdr:from>
    <xdr:to>
      <xdr:col>24</xdr:col>
      <xdr:colOff>335516</xdr:colOff>
      <xdr:row>1</xdr:row>
      <xdr:rowOff>228600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995881" y="73738"/>
          <a:ext cx="636035" cy="231062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22474</xdr:colOff>
      <xdr:row>2</xdr:row>
      <xdr:rowOff>51155</xdr:rowOff>
    </xdr:from>
    <xdr:to>
      <xdr:col>22</xdr:col>
      <xdr:colOff>324599</xdr:colOff>
      <xdr:row>2</xdr:row>
      <xdr:rowOff>286605</xdr:rowOff>
    </xdr:to>
    <xdr:sp macro="" textlink="">
      <xdr:nvSpPr>
        <xdr:cNvPr id="3" name="Right Arrow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8118724" y="422630"/>
          <a:ext cx="702175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8</xdr:col>
      <xdr:colOff>385281</xdr:colOff>
      <xdr:row>2</xdr:row>
      <xdr:rowOff>32107</xdr:rowOff>
    </xdr:from>
    <xdr:to>
      <xdr:col>10</xdr:col>
      <xdr:colOff>288961</xdr:colOff>
      <xdr:row>2</xdr:row>
      <xdr:rowOff>267557</xdr:rowOff>
    </xdr:to>
    <xdr:sp macro="" textlink="">
      <xdr:nvSpPr>
        <xdr:cNvPr id="4" name="Right Arrow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3199972" y="406686"/>
          <a:ext cx="631433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12</xdr:col>
      <xdr:colOff>333375</xdr:colOff>
      <xdr:row>3</xdr:row>
      <xdr:rowOff>32107</xdr:rowOff>
    </xdr:from>
    <xdr:to>
      <xdr:col>14</xdr:col>
      <xdr:colOff>352425</xdr:colOff>
      <xdr:row>3</xdr:row>
      <xdr:rowOff>267557</xdr:rowOff>
    </xdr:to>
    <xdr:sp macro="" textlink="">
      <xdr:nvSpPr>
        <xdr:cNvPr id="5" name="Right Arrow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705350" y="698857"/>
          <a:ext cx="885825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23</xdr:col>
      <xdr:colOff>23331</xdr:colOff>
      <xdr:row>3</xdr:row>
      <xdr:rowOff>32107</xdr:rowOff>
    </xdr:from>
    <xdr:to>
      <xdr:col>24</xdr:col>
      <xdr:colOff>327061</xdr:colOff>
      <xdr:row>3</xdr:row>
      <xdr:rowOff>267557</xdr:rowOff>
    </xdr:to>
    <xdr:sp macro="" textlink="">
      <xdr:nvSpPr>
        <xdr:cNvPr id="6" name="Right Arrow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8919681" y="698857"/>
          <a:ext cx="703780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28</xdr:col>
      <xdr:colOff>395288</xdr:colOff>
      <xdr:row>1</xdr:row>
      <xdr:rowOff>257178</xdr:rowOff>
    </xdr:from>
    <xdr:to>
      <xdr:col>28</xdr:col>
      <xdr:colOff>630738</xdr:colOff>
      <xdr:row>3</xdr:row>
      <xdr:rowOff>2088</xdr:rowOff>
    </xdr:to>
    <xdr:sp macro="" textlink="">
      <xdr:nvSpPr>
        <xdr:cNvPr id="7" name="Right Arrow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 rot="5400000">
          <a:off x="11737183" y="383383"/>
          <a:ext cx="335460" cy="235450"/>
        </a:xfrm>
        <a:prstGeom prst="rightArrow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29"/>
  <sheetViews>
    <sheetView showGridLines="0" tabSelected="1" zoomScaleNormal="100" workbookViewId="0">
      <selection activeCell="B4" sqref="B4:P4"/>
    </sheetView>
  </sheetViews>
  <sheetFormatPr defaultColWidth="0" defaultRowHeight="12.75" zeroHeight="1" x14ac:dyDescent="0.2"/>
  <cols>
    <col min="1" max="1" width="7.85546875" style="86" customWidth="1"/>
    <col min="2" max="2" width="4" style="90" customWidth="1"/>
    <col min="3" max="16" width="9.140625" customWidth="1"/>
    <col min="17" max="17" width="8" customWidth="1"/>
    <col min="18" max="18" width="9.140625" hidden="1" customWidth="1"/>
    <col min="19" max="16384" width="9.140625" hidden="1"/>
  </cols>
  <sheetData>
    <row r="1" spans="1:17" ht="42.75" customHeight="1" thickBot="1" x14ac:dyDescent="0.25"/>
    <row r="2" spans="1:17" ht="25.5" customHeight="1" x14ac:dyDescent="0.2">
      <c r="B2" s="172" t="s">
        <v>186</v>
      </c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4"/>
    </row>
    <row r="3" spans="1:17" ht="18.75" x14ac:dyDescent="0.3">
      <c r="B3" s="175" t="s">
        <v>153</v>
      </c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7"/>
    </row>
    <row r="4" spans="1:17" ht="21" customHeight="1" x14ac:dyDescent="0.2">
      <c r="B4" s="178" t="s">
        <v>244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80"/>
    </row>
    <row r="5" spans="1:17" ht="18.75" x14ac:dyDescent="0.3">
      <c r="B5" s="181" t="s">
        <v>154</v>
      </c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3"/>
      <c r="Q5" s="79"/>
    </row>
    <row r="6" spans="1:17" ht="18.75" x14ac:dyDescent="0.3">
      <c r="A6" s="88"/>
      <c r="B6" s="80">
        <v>1</v>
      </c>
      <c r="C6" s="193" t="s">
        <v>158</v>
      </c>
      <c r="D6" s="193"/>
      <c r="E6" s="193"/>
      <c r="F6" s="193"/>
      <c r="G6" s="193"/>
      <c r="H6" s="193"/>
      <c r="I6" s="193"/>
      <c r="J6" s="193"/>
      <c r="K6" s="193"/>
      <c r="L6" s="193"/>
      <c r="M6" s="193"/>
      <c r="N6" s="193"/>
      <c r="O6" s="193"/>
      <c r="P6" s="194"/>
      <c r="Q6" s="78"/>
    </row>
    <row r="7" spans="1:17" ht="18.75" x14ac:dyDescent="0.3">
      <c r="A7" s="88"/>
      <c r="B7" s="80">
        <v>2</v>
      </c>
      <c r="C7" s="193" t="s">
        <v>155</v>
      </c>
      <c r="D7" s="193"/>
      <c r="E7" s="193"/>
      <c r="F7" s="193"/>
      <c r="G7" s="193"/>
      <c r="H7" s="193"/>
      <c r="I7" s="193"/>
      <c r="J7" s="193"/>
      <c r="K7" s="193"/>
      <c r="L7" s="193"/>
      <c r="M7" s="193"/>
      <c r="N7" s="193"/>
      <c r="O7" s="193"/>
      <c r="P7" s="194"/>
    </row>
    <row r="8" spans="1:17" ht="18.75" x14ac:dyDescent="0.3">
      <c r="A8" s="88"/>
      <c r="B8" s="80">
        <v>3</v>
      </c>
      <c r="C8" s="193" t="s">
        <v>167</v>
      </c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4"/>
    </row>
    <row r="9" spans="1:17" ht="18.75" x14ac:dyDescent="0.3">
      <c r="A9" s="88"/>
      <c r="B9" s="80">
        <v>4</v>
      </c>
      <c r="C9" s="193" t="s">
        <v>156</v>
      </c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3"/>
      <c r="O9" s="193"/>
      <c r="P9" s="194"/>
    </row>
    <row r="10" spans="1:17" ht="18.75" x14ac:dyDescent="0.3">
      <c r="A10" s="88"/>
      <c r="B10" s="80">
        <v>5</v>
      </c>
      <c r="C10" s="193" t="s">
        <v>160</v>
      </c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3"/>
      <c r="O10" s="193"/>
      <c r="P10" s="194"/>
    </row>
    <row r="11" spans="1:17" ht="36" customHeight="1" x14ac:dyDescent="0.3">
      <c r="A11" s="89"/>
      <c r="B11" s="80">
        <v>6</v>
      </c>
      <c r="C11" s="152" t="s">
        <v>163</v>
      </c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3"/>
    </row>
    <row r="12" spans="1:17" ht="16.5" x14ac:dyDescent="0.3">
      <c r="A12" s="89"/>
      <c r="B12" s="80">
        <v>7</v>
      </c>
      <c r="C12" s="154" t="s">
        <v>178</v>
      </c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5"/>
    </row>
    <row r="13" spans="1:17" ht="16.5" x14ac:dyDescent="0.3">
      <c r="A13" s="89"/>
      <c r="B13" s="80">
        <v>8</v>
      </c>
      <c r="C13" s="190" t="s">
        <v>245</v>
      </c>
      <c r="D13" s="191"/>
      <c r="E13" s="191"/>
      <c r="F13" s="191"/>
      <c r="G13" s="191"/>
      <c r="H13" s="191"/>
      <c r="I13" s="191"/>
      <c r="J13" s="191"/>
      <c r="K13" s="191"/>
      <c r="L13" s="191"/>
      <c r="M13" s="191"/>
      <c r="N13" s="191"/>
      <c r="O13" s="191"/>
      <c r="P13" s="192"/>
    </row>
    <row r="14" spans="1:17" ht="18.75" x14ac:dyDescent="0.3">
      <c r="A14" s="89"/>
      <c r="B14" s="80">
        <v>9</v>
      </c>
      <c r="C14" s="159" t="s">
        <v>157</v>
      </c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1"/>
    </row>
    <row r="15" spans="1:17" s="96" customFormat="1" ht="18.75" x14ac:dyDescent="0.3">
      <c r="A15" s="88"/>
      <c r="B15" s="95">
        <v>10</v>
      </c>
      <c r="C15" s="195" t="s">
        <v>170</v>
      </c>
      <c r="D15" s="196"/>
      <c r="E15" s="196"/>
      <c r="F15" s="196"/>
      <c r="G15" s="196"/>
      <c r="H15" s="196"/>
      <c r="I15" s="196"/>
      <c r="J15" s="196"/>
      <c r="K15" s="196"/>
      <c r="L15" s="196"/>
      <c r="M15" s="196"/>
      <c r="N15" s="196"/>
      <c r="O15" s="196"/>
      <c r="P15" s="197"/>
    </row>
    <row r="16" spans="1:17" s="96" customFormat="1" ht="18.75" customHeight="1" x14ac:dyDescent="0.2">
      <c r="A16" s="88"/>
      <c r="B16" s="167">
        <v>11</v>
      </c>
      <c r="C16" s="162" t="s">
        <v>243</v>
      </c>
      <c r="D16" s="163"/>
      <c r="E16" s="163"/>
      <c r="F16" s="163"/>
      <c r="G16" s="163"/>
      <c r="H16" s="163"/>
      <c r="I16" s="163"/>
      <c r="J16" s="163"/>
      <c r="K16" s="163"/>
      <c r="L16" s="163"/>
      <c r="M16" s="163"/>
      <c r="N16" s="163"/>
      <c r="O16" s="163"/>
      <c r="P16" s="164"/>
    </row>
    <row r="17" spans="1:16" s="96" customFormat="1" ht="18.75" customHeight="1" x14ac:dyDescent="0.2">
      <c r="A17" s="88"/>
      <c r="B17" s="168"/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6"/>
    </row>
    <row r="18" spans="1:16" ht="18.75" x14ac:dyDescent="0.3">
      <c r="B18" s="184" t="s">
        <v>159</v>
      </c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6"/>
    </row>
    <row r="19" spans="1:16" ht="18.75" x14ac:dyDescent="0.3">
      <c r="A19" s="87"/>
      <c r="B19" s="91"/>
      <c r="C19" s="148" t="s">
        <v>161</v>
      </c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48"/>
      <c r="P19" s="149"/>
    </row>
    <row r="20" spans="1:16" ht="18.75" x14ac:dyDescent="0.3">
      <c r="B20" s="184" t="s">
        <v>162</v>
      </c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6"/>
    </row>
    <row r="21" spans="1:16" ht="18.75" customHeight="1" x14ac:dyDescent="0.2">
      <c r="A21" s="87"/>
      <c r="B21" s="91"/>
      <c r="C21" s="150" t="s">
        <v>164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1"/>
    </row>
    <row r="22" spans="1:16" ht="18.75" customHeight="1" x14ac:dyDescent="0.2">
      <c r="A22" s="87"/>
      <c r="B22" s="91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1"/>
    </row>
    <row r="23" spans="1:16" ht="18.75" x14ac:dyDescent="0.3">
      <c r="B23" s="187" t="s">
        <v>165</v>
      </c>
      <c r="C23" s="188"/>
      <c r="D23" s="188"/>
      <c r="E23" s="188"/>
      <c r="F23" s="188"/>
      <c r="G23" s="188"/>
      <c r="H23" s="188"/>
      <c r="I23" s="188"/>
      <c r="J23" s="188"/>
      <c r="K23" s="188"/>
      <c r="L23" s="188"/>
      <c r="M23" s="188"/>
      <c r="N23" s="188"/>
      <c r="O23" s="188"/>
      <c r="P23" s="189"/>
    </row>
    <row r="24" spans="1:16" ht="18.75" x14ac:dyDescent="0.3">
      <c r="A24" s="87"/>
      <c r="B24" s="91"/>
      <c r="C24" s="148" t="s">
        <v>166</v>
      </c>
      <c r="D24" s="148"/>
      <c r="E24" s="148"/>
      <c r="F24" s="148"/>
      <c r="G24" s="148"/>
      <c r="H24" s="148"/>
      <c r="I24" s="148"/>
      <c r="J24" s="148"/>
      <c r="K24" s="148"/>
      <c r="L24" s="148"/>
      <c r="M24" s="148"/>
      <c r="N24" s="148"/>
      <c r="O24" s="148"/>
      <c r="P24" s="149"/>
    </row>
    <row r="25" spans="1:16" ht="37.5" customHeight="1" x14ac:dyDescent="0.3">
      <c r="B25" s="156" t="s">
        <v>188</v>
      </c>
      <c r="C25" s="157"/>
      <c r="D25" s="157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8"/>
    </row>
    <row r="26" spans="1:16" ht="73.5" customHeight="1" thickBot="1" x14ac:dyDescent="0.25">
      <c r="B26" s="169" t="s">
        <v>187</v>
      </c>
      <c r="C26" s="170"/>
      <c r="D26" s="17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1"/>
    </row>
    <row r="27" spans="1:16" x14ac:dyDescent="0.2"/>
    <row r="28" spans="1:16" x14ac:dyDescent="0.2"/>
    <row r="29" spans="1:16" x14ac:dyDescent="0.2"/>
  </sheetData>
  <sheetProtection password="CC13" sheet="1" objects="1" scenarios="1" selectLockedCells="1"/>
  <mergeCells count="24">
    <mergeCell ref="B26:P26"/>
    <mergeCell ref="B2:P2"/>
    <mergeCell ref="B3:P3"/>
    <mergeCell ref="B4:P4"/>
    <mergeCell ref="B5:P5"/>
    <mergeCell ref="B18:P18"/>
    <mergeCell ref="B20:P20"/>
    <mergeCell ref="B23:P23"/>
    <mergeCell ref="C13:P13"/>
    <mergeCell ref="C24:P24"/>
    <mergeCell ref="C6:P6"/>
    <mergeCell ref="C7:P7"/>
    <mergeCell ref="C8:P8"/>
    <mergeCell ref="C9:P9"/>
    <mergeCell ref="C10:P10"/>
    <mergeCell ref="C15:P15"/>
    <mergeCell ref="C19:P19"/>
    <mergeCell ref="C21:P22"/>
    <mergeCell ref="C11:P11"/>
    <mergeCell ref="C12:P12"/>
    <mergeCell ref="B25:P25"/>
    <mergeCell ref="C14:P14"/>
    <mergeCell ref="C16:P17"/>
    <mergeCell ref="B16:B17"/>
  </mergeCells>
  <printOptions horizontalCentered="1"/>
  <pageMargins left="0.23622047244094491" right="0.15748031496062992" top="0.39370078740157483" bottom="0.39" header="0.31496062992125984" footer="0.31496062992125984"/>
  <pageSetup paperSize="9" scale="11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rgb="FF0000FF"/>
  </sheetPr>
  <dimension ref="A1:AD44"/>
  <sheetViews>
    <sheetView showGridLines="0" zoomScaleNormal="100" workbookViewId="0">
      <pane xSplit="3" ySplit="11" topLeftCell="D12" activePane="bottomRight" state="frozen"/>
      <selection pane="topRight" activeCell="B1" sqref="B1"/>
      <selection pane="bottomLeft" activeCell="A5" sqref="A5"/>
      <selection pane="bottomRight" activeCell="Z2" sqref="Z2:AA2"/>
    </sheetView>
  </sheetViews>
  <sheetFormatPr defaultColWidth="9.140625" defaultRowHeight="12.75" zeroHeight="1" x14ac:dyDescent="0.2"/>
  <cols>
    <col min="1" max="1" width="0.42578125" style="52" customWidth="1"/>
    <col min="2" max="2" width="5.140625" style="6" hidden="1" customWidth="1"/>
    <col min="3" max="3" width="14.140625" style="6" customWidth="1"/>
    <col min="4" max="4" width="7" style="6" customWidth="1"/>
    <col min="5" max="7" width="5" style="6" customWidth="1"/>
    <col min="8" max="8" width="8.42578125" style="6" customWidth="1"/>
    <col min="9" max="9" width="6.85546875" style="6" customWidth="1"/>
    <col min="10" max="10" width="5" style="6" customWidth="1"/>
    <col min="11" max="13" width="6" style="6" customWidth="1"/>
    <col min="14" max="15" width="7" style="6" customWidth="1"/>
    <col min="16" max="16" width="5.85546875" style="6" customWidth="1"/>
    <col min="17" max="17" width="5.7109375" style="6" customWidth="1"/>
    <col min="18" max="18" width="6" style="6" customWidth="1"/>
    <col min="19" max="19" width="4.85546875" style="6" customWidth="1"/>
    <col min="20" max="20" width="7" style="6" customWidth="1"/>
    <col min="21" max="21" width="6.42578125" style="6" customWidth="1"/>
    <col min="22" max="26" width="6" style="6" customWidth="1"/>
    <col min="27" max="27" width="9.85546875" style="6" bestFit="1" customWidth="1"/>
    <col min="28" max="28" width="10" style="6" customWidth="1"/>
    <col min="29" max="29" width="15.5703125" style="6" customWidth="1"/>
    <col min="30" max="30" width="0.42578125" style="52" customWidth="1"/>
    <col min="31" max="34" width="9.140625" style="6" customWidth="1"/>
    <col min="35" max="16384" width="9.140625" style="6"/>
  </cols>
  <sheetData>
    <row r="1" spans="1:30" ht="7.5" customHeight="1" x14ac:dyDescent="0.2"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</row>
    <row r="2" spans="1:30" ht="23.25" customHeight="1" x14ac:dyDescent="0.2">
      <c r="C2" s="54"/>
      <c r="D2" s="214" t="s">
        <v>169</v>
      </c>
      <c r="E2" s="214"/>
      <c r="F2" s="214"/>
      <c r="G2" s="214"/>
      <c r="H2" s="214"/>
      <c r="I2" s="214"/>
      <c r="J2" s="214"/>
      <c r="K2" s="214"/>
      <c r="L2" s="214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53"/>
      <c r="Y2" s="53"/>
      <c r="Z2" s="199" t="s">
        <v>146</v>
      </c>
      <c r="AA2" s="199"/>
      <c r="AB2" s="53"/>
      <c r="AC2" s="93" t="s">
        <v>168</v>
      </c>
    </row>
    <row r="3" spans="1:30" ht="23.25" customHeight="1" x14ac:dyDescent="0.35">
      <c r="C3" s="54"/>
      <c r="D3" s="202" t="s">
        <v>109</v>
      </c>
      <c r="E3" s="202"/>
      <c r="F3" s="202"/>
      <c r="G3" s="202"/>
      <c r="H3" s="202"/>
      <c r="I3" s="202"/>
      <c r="J3" s="202"/>
      <c r="K3" s="211"/>
      <c r="L3" s="199" t="s">
        <v>146</v>
      </c>
      <c r="M3" s="199"/>
      <c r="N3" s="213" t="s">
        <v>108</v>
      </c>
      <c r="O3" s="202"/>
      <c r="P3" s="202"/>
      <c r="Q3" s="202"/>
      <c r="R3" s="202"/>
      <c r="S3" s="202"/>
      <c r="T3" s="202"/>
      <c r="U3" s="202"/>
      <c r="V3" s="202"/>
      <c r="W3" s="211"/>
      <c r="X3" s="212">
        <v>4</v>
      </c>
      <c r="Y3" s="212"/>
      <c r="Z3" s="55"/>
      <c r="AA3" s="53"/>
      <c r="AB3" s="53"/>
      <c r="AC3" s="53"/>
    </row>
    <row r="4" spans="1:30" ht="23.25" customHeight="1" x14ac:dyDescent="0.2">
      <c r="C4" s="54"/>
      <c r="D4" s="202" t="s">
        <v>138</v>
      </c>
      <c r="E4" s="202"/>
      <c r="F4" s="202"/>
      <c r="G4" s="202"/>
      <c r="H4" s="202"/>
      <c r="I4" s="202"/>
      <c r="J4" s="202"/>
      <c r="K4" s="202"/>
      <c r="L4" s="202"/>
      <c r="M4" s="202"/>
      <c r="N4" s="76"/>
      <c r="O4" s="76"/>
      <c r="P4" s="199" t="s">
        <v>146</v>
      </c>
      <c r="Q4" s="199"/>
      <c r="R4" s="200" t="s">
        <v>150</v>
      </c>
      <c r="S4" s="201"/>
      <c r="T4" s="201"/>
      <c r="U4" s="201"/>
      <c r="V4" s="201"/>
      <c r="W4" s="201"/>
      <c r="X4" s="76"/>
      <c r="Y4" s="76"/>
      <c r="Z4" s="199" t="s">
        <v>146</v>
      </c>
      <c r="AA4" s="199"/>
      <c r="AB4" s="53"/>
      <c r="AC4" s="92">
        <v>0.08</v>
      </c>
    </row>
    <row r="5" spans="1:30" ht="2.25" customHeight="1" x14ac:dyDescent="0.35">
      <c r="C5" s="45"/>
      <c r="D5" s="46"/>
      <c r="E5" s="46"/>
      <c r="F5" s="46"/>
      <c r="G5" s="46"/>
      <c r="H5" s="46"/>
      <c r="I5" s="46"/>
      <c r="J5" s="46"/>
      <c r="K5" s="46"/>
      <c r="L5" s="47"/>
      <c r="M5" s="47"/>
      <c r="N5" s="48"/>
      <c r="O5" s="48"/>
      <c r="P5" s="48"/>
      <c r="Q5" s="48"/>
      <c r="R5" s="48"/>
      <c r="S5" s="48"/>
      <c r="T5" s="49"/>
      <c r="U5" s="46"/>
      <c r="V5" s="46"/>
      <c r="W5" s="50"/>
      <c r="X5" s="50"/>
      <c r="Y5" s="50"/>
      <c r="Z5" s="50"/>
      <c r="AA5" s="51"/>
      <c r="AB5" s="52"/>
      <c r="AC5" s="52"/>
    </row>
    <row r="6" spans="1:30" ht="25.5" x14ac:dyDescent="0.2">
      <c r="C6" s="207" t="s">
        <v>102</v>
      </c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  <c r="T6" s="207"/>
      <c r="U6" s="207"/>
      <c r="V6" s="207"/>
      <c r="W6" s="207"/>
      <c r="X6" s="207"/>
      <c r="Y6" s="207"/>
      <c r="Z6" s="207"/>
      <c r="AA6" s="207"/>
      <c r="AB6" s="207"/>
      <c r="AC6" s="207"/>
    </row>
    <row r="7" spans="1:30" ht="20.25" x14ac:dyDescent="0.2">
      <c r="C7" s="208" t="s">
        <v>189</v>
      </c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</row>
    <row r="8" spans="1:30" ht="6.75" customHeight="1" x14ac:dyDescent="0.2"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</row>
    <row r="9" spans="1:30" s="24" customFormat="1" ht="17.100000000000001" customHeight="1" x14ac:dyDescent="0.2">
      <c r="A9" s="62"/>
      <c r="C9" s="122" t="s">
        <v>30</v>
      </c>
      <c r="D9" s="217" t="s">
        <v>86</v>
      </c>
      <c r="E9" s="217"/>
      <c r="F9" s="217"/>
      <c r="G9" s="217"/>
      <c r="H9" s="217"/>
      <c r="I9" s="215" t="s">
        <v>31</v>
      </c>
      <c r="J9" s="215"/>
      <c r="K9" s="216" t="s">
        <v>110</v>
      </c>
      <c r="L9" s="216"/>
      <c r="M9" s="216"/>
      <c r="N9" s="216"/>
      <c r="O9" s="122" t="s">
        <v>29</v>
      </c>
      <c r="P9" s="203" t="s">
        <v>113</v>
      </c>
      <c r="Q9" s="203"/>
      <c r="R9" s="203"/>
      <c r="S9" s="102"/>
      <c r="T9" s="103" t="s">
        <v>144</v>
      </c>
      <c r="U9" s="203" t="s">
        <v>145</v>
      </c>
      <c r="V9" s="203"/>
      <c r="W9" s="203"/>
      <c r="Z9" s="210" t="s">
        <v>97</v>
      </c>
      <c r="AA9" s="210"/>
      <c r="AB9" s="209" t="s">
        <v>101</v>
      </c>
      <c r="AC9" s="209"/>
      <c r="AD9" s="62"/>
    </row>
    <row r="10" spans="1:30" s="24" customFormat="1" ht="17.100000000000001" customHeight="1" x14ac:dyDescent="0.2">
      <c r="A10" s="62"/>
      <c r="C10" s="122"/>
      <c r="D10" s="218"/>
      <c r="E10" s="218"/>
      <c r="F10" s="218"/>
      <c r="G10" s="218"/>
      <c r="H10" s="218"/>
      <c r="I10" s="219" t="s">
        <v>174</v>
      </c>
      <c r="J10" s="219"/>
      <c r="K10" s="204">
        <v>1234567</v>
      </c>
      <c r="L10" s="204"/>
      <c r="M10" s="204"/>
      <c r="N10" s="205" t="s">
        <v>175</v>
      </c>
      <c r="O10" s="205"/>
      <c r="P10" s="206" t="s">
        <v>177</v>
      </c>
      <c r="Q10" s="206"/>
      <c r="R10" s="206"/>
      <c r="S10" s="101"/>
      <c r="T10" s="101"/>
      <c r="U10" s="101"/>
      <c r="V10" s="101"/>
      <c r="W10" s="101"/>
      <c r="X10" s="101"/>
      <c r="Y10" s="101"/>
      <c r="Z10" s="205" t="s">
        <v>176</v>
      </c>
      <c r="AA10" s="205"/>
      <c r="AB10" s="204">
        <v>12345678910</v>
      </c>
      <c r="AC10" s="204"/>
      <c r="AD10" s="62"/>
    </row>
    <row r="11" spans="1:30" s="19" customFormat="1" ht="108.75" customHeight="1" x14ac:dyDescent="0.2">
      <c r="A11" s="63"/>
      <c r="C11" s="144" t="s">
        <v>14</v>
      </c>
      <c r="D11" s="97" t="s">
        <v>2</v>
      </c>
      <c r="E11" s="98" t="s">
        <v>3</v>
      </c>
      <c r="F11" s="98" t="s">
        <v>87</v>
      </c>
      <c r="G11" s="98" t="s">
        <v>24</v>
      </c>
      <c r="H11" s="97" t="s">
        <v>25</v>
      </c>
      <c r="I11" s="97" t="s">
        <v>151</v>
      </c>
      <c r="J11" s="98" t="s">
        <v>94</v>
      </c>
      <c r="K11" s="98" t="s">
        <v>142</v>
      </c>
      <c r="L11" s="98" t="s">
        <v>147</v>
      </c>
      <c r="M11" s="98" t="s">
        <v>148</v>
      </c>
      <c r="N11" s="99" t="s">
        <v>92</v>
      </c>
      <c r="O11" s="97" t="str">
        <f>IF(Z2="No","GPF","Emp. C.Pen.F.")</f>
        <v>GPF</v>
      </c>
      <c r="P11" s="100" t="str">
        <f>IF(Z2="No","GPF LOAN","")</f>
        <v>GPF LOAN</v>
      </c>
      <c r="Q11" s="97" t="s">
        <v>15</v>
      </c>
      <c r="R11" s="97" t="s">
        <v>1</v>
      </c>
      <c r="S11" s="97" t="s">
        <v>16</v>
      </c>
      <c r="T11" s="97" t="s">
        <v>6</v>
      </c>
      <c r="U11" s="97" t="s">
        <v>141</v>
      </c>
      <c r="V11" s="100" t="s">
        <v>90</v>
      </c>
      <c r="W11" s="100" t="s">
        <v>89</v>
      </c>
      <c r="X11" s="100" t="s">
        <v>85</v>
      </c>
      <c r="Y11" s="98" t="s">
        <v>139</v>
      </c>
      <c r="Z11" s="98" t="s">
        <v>140</v>
      </c>
      <c r="AA11" s="97" t="s">
        <v>91</v>
      </c>
      <c r="AB11" s="99" t="s">
        <v>143</v>
      </c>
      <c r="AC11" s="147" t="s">
        <v>93</v>
      </c>
      <c r="AD11" s="63"/>
    </row>
    <row r="12" spans="1:30" s="20" customFormat="1" ht="18.95" customHeight="1" x14ac:dyDescent="0.2">
      <c r="A12" s="64"/>
      <c r="B12" s="20">
        <v>3</v>
      </c>
      <c r="C12" s="134">
        <v>43525</v>
      </c>
      <c r="D12" s="145">
        <v>73400</v>
      </c>
      <c r="E12" s="124">
        <v>0</v>
      </c>
      <c r="F12" s="124">
        <v>0</v>
      </c>
      <c r="G12" s="124">
        <v>0</v>
      </c>
      <c r="H12" s="124">
        <f>ROUND(12%*D12,0)</f>
        <v>8808</v>
      </c>
      <c r="I12" s="124">
        <f>IF($AC$4=16%,ROUND(0.16*D12,0),ROUND(0.08*D12,0))</f>
        <v>5872</v>
      </c>
      <c r="J12" s="124">
        <v>0</v>
      </c>
      <c r="K12" s="124">
        <v>0</v>
      </c>
      <c r="L12" s="124">
        <v>0</v>
      </c>
      <c r="M12" s="124">
        <v>0</v>
      </c>
      <c r="N12" s="125">
        <f>SUM(D12:M12)</f>
        <v>88080</v>
      </c>
      <c r="O12" s="124">
        <f>IF($Z$2="Yes",ROUND((D12+H12)*0.1,0),IF($Z$2="No",IF(D12&lt;23101,1450,IF(D12&lt;28501,1625,IF(D12&lt;38501,2100,IF(D12&lt;51501,2850,IF(D12&lt;62001,3575,IF(D12&lt;72001,4200,IF(D12&lt;80001,4800,IF(D12&lt;116001,6150,IF(D12&lt;167001,8900,10500))))))))),0))</f>
        <v>4800</v>
      </c>
      <c r="P12" s="124">
        <v>0</v>
      </c>
      <c r="Q12" s="124">
        <f>IF(D12&lt;22001,500,IF(D12&lt;28501,700,IF(D12&lt;46501,1300,IF(D12&lt;72001,1800,3000))))</f>
        <v>3000</v>
      </c>
      <c r="R12" s="124">
        <v>0</v>
      </c>
      <c r="S12" s="124">
        <f t="shared" ref="S12:S14" si="0">IF($Z$2="No",IF(D12&lt;18001,228,IF(D12&lt;33501,379,IF(D12&lt;54001,568,755))),0)</f>
        <v>755</v>
      </c>
      <c r="T12" s="124">
        <v>100</v>
      </c>
      <c r="U12" s="124">
        <v>0</v>
      </c>
      <c r="V12" s="124"/>
      <c r="W12" s="124"/>
      <c r="X12" s="124">
        <v>8000</v>
      </c>
      <c r="Y12" s="124"/>
      <c r="Z12" s="127"/>
      <c r="AA12" s="128">
        <f>SUM(O12:Z12)</f>
        <v>16655</v>
      </c>
      <c r="AB12" s="129">
        <f t="shared" ref="AB12" si="1">N12-AA12</f>
        <v>71425</v>
      </c>
      <c r="AC12" s="124"/>
      <c r="AD12" s="64"/>
    </row>
    <row r="13" spans="1:30" s="20" customFormat="1" ht="18.95" customHeight="1" x14ac:dyDescent="0.2">
      <c r="A13" s="64"/>
      <c r="B13" s="20">
        <v>4</v>
      </c>
      <c r="C13" s="134">
        <v>43556</v>
      </c>
      <c r="D13" s="145">
        <f t="shared" ref="D13:D15" si="2">D12</f>
        <v>73400</v>
      </c>
      <c r="E13" s="124">
        <f>IF(E$12=0,0,ROUND(D13/2,0))</f>
        <v>0</v>
      </c>
      <c r="F13" s="124">
        <f t="shared" ref="F13:G18" si="3">IF(F$12=0,0,F12)</f>
        <v>0</v>
      </c>
      <c r="G13" s="124">
        <f t="shared" si="3"/>
        <v>0</v>
      </c>
      <c r="H13" s="124">
        <f t="shared" ref="H13:H23" si="4">ROUND(12%*D13,0)</f>
        <v>8808</v>
      </c>
      <c r="I13" s="124">
        <f t="shared" ref="I13:I23" si="5">IF($AC$4=16%,ROUND(0.16*D13,0),ROUND(0.08*D13,0))</f>
        <v>5872</v>
      </c>
      <c r="J13" s="124">
        <f t="shared" ref="J13:J23" si="6">IF(J$12=0,0,J12)</f>
        <v>0</v>
      </c>
      <c r="K13" s="124">
        <f t="shared" ref="K13:L23" si="7">IF(K$12=0,0,K12)</f>
        <v>0</v>
      </c>
      <c r="L13" s="124">
        <f t="shared" si="7"/>
        <v>0</v>
      </c>
      <c r="M13" s="124">
        <f t="shared" ref="M13:M23" si="8">IF(M$12=0,0,M12)</f>
        <v>0</v>
      </c>
      <c r="N13" s="125">
        <f t="shared" ref="N13:N32" si="9">SUM(D13:M13)</f>
        <v>88080</v>
      </c>
      <c r="O13" s="124">
        <f t="shared" ref="O13:O23" si="10">IF($Z$2="Yes",ROUND((D13+H13)*0.1,0),IF($Z$2="No",IF(D13&lt;23101,1450,IF(D13&lt;28501,1625,IF(D13&lt;38501,2100,IF(D13&lt;51501,2850,IF(D13&lt;62001,3575,IF(D13&lt;72001,4200,IF(D13&lt;80001,4800,IF(D13&lt;116001,6150,IF(D13&lt;167001,8900,10500))))))))),0))</f>
        <v>4800</v>
      </c>
      <c r="P13" s="124">
        <f>P12</f>
        <v>0</v>
      </c>
      <c r="Q13" s="124">
        <f>Q12</f>
        <v>3000</v>
      </c>
      <c r="R13" s="124">
        <f>R12</f>
        <v>0</v>
      </c>
      <c r="S13" s="124">
        <f t="shared" si="0"/>
        <v>755</v>
      </c>
      <c r="T13" s="124">
        <f>T12</f>
        <v>100</v>
      </c>
      <c r="U13" s="130">
        <v>220</v>
      </c>
      <c r="V13" s="124">
        <f t="shared" ref="V13:Z23" si="11">V12</f>
        <v>0</v>
      </c>
      <c r="W13" s="124">
        <f t="shared" si="11"/>
        <v>0</v>
      </c>
      <c r="X13" s="124">
        <f>X12</f>
        <v>8000</v>
      </c>
      <c r="Y13" s="124">
        <f t="shared" si="11"/>
        <v>0</v>
      </c>
      <c r="Z13" s="124">
        <f t="shared" si="11"/>
        <v>0</v>
      </c>
      <c r="AA13" s="128">
        <f t="shared" ref="AA13:AA28" si="12">SUM(O13:Z13)</f>
        <v>16875</v>
      </c>
      <c r="AB13" s="129">
        <f t="shared" ref="AB13:AB28" si="13">N13-AA13</f>
        <v>71205</v>
      </c>
      <c r="AC13" s="124"/>
      <c r="AD13" s="64"/>
    </row>
    <row r="14" spans="1:30" s="20" customFormat="1" ht="18.95" customHeight="1" x14ac:dyDescent="0.2">
      <c r="A14" s="64"/>
      <c r="B14" s="20">
        <v>5</v>
      </c>
      <c r="C14" s="134">
        <v>43586</v>
      </c>
      <c r="D14" s="145">
        <f t="shared" si="2"/>
        <v>73400</v>
      </c>
      <c r="E14" s="124">
        <f t="shared" ref="E14:E23" si="14">IF($E$12=0,0,ROUND(D14/2,0))</f>
        <v>0</v>
      </c>
      <c r="F14" s="124">
        <f t="shared" si="3"/>
        <v>0</v>
      </c>
      <c r="G14" s="124">
        <f t="shared" si="3"/>
        <v>0</v>
      </c>
      <c r="H14" s="124">
        <f t="shared" si="4"/>
        <v>8808</v>
      </c>
      <c r="I14" s="124">
        <f t="shared" si="5"/>
        <v>5872</v>
      </c>
      <c r="J14" s="124">
        <f t="shared" si="6"/>
        <v>0</v>
      </c>
      <c r="K14" s="124">
        <f t="shared" ref="K14" si="15">IF(K$12=0,0,K13)</f>
        <v>0</v>
      </c>
      <c r="L14" s="124">
        <f>IF(L$12=0,0,L13)</f>
        <v>0</v>
      </c>
      <c r="M14" s="124">
        <f t="shared" si="8"/>
        <v>0</v>
      </c>
      <c r="N14" s="125">
        <f t="shared" si="9"/>
        <v>88080</v>
      </c>
      <c r="O14" s="124">
        <f t="shared" si="10"/>
        <v>4800</v>
      </c>
      <c r="P14" s="124">
        <f t="shared" ref="P14:P23" si="16">P13</f>
        <v>0</v>
      </c>
      <c r="Q14" s="124">
        <f t="shared" ref="Q14:Q23" si="17">Q13</f>
        <v>3000</v>
      </c>
      <c r="R14" s="124">
        <f t="shared" ref="R14:R23" si="18">R13</f>
        <v>0</v>
      </c>
      <c r="S14" s="124">
        <f t="shared" si="0"/>
        <v>755</v>
      </c>
      <c r="T14" s="124">
        <f t="shared" ref="T14:T23" si="19">T13</f>
        <v>100</v>
      </c>
      <c r="U14" s="124">
        <v>0</v>
      </c>
      <c r="V14" s="124">
        <f t="shared" si="11"/>
        <v>0</v>
      </c>
      <c r="W14" s="124">
        <f t="shared" si="11"/>
        <v>0</v>
      </c>
      <c r="X14" s="124">
        <f t="shared" si="11"/>
        <v>8000</v>
      </c>
      <c r="Y14" s="124">
        <f t="shared" ref="Y14:Z14" si="20">Y13</f>
        <v>0</v>
      </c>
      <c r="Z14" s="124">
        <f t="shared" si="20"/>
        <v>0</v>
      </c>
      <c r="AA14" s="128">
        <f t="shared" si="12"/>
        <v>16655</v>
      </c>
      <c r="AB14" s="129">
        <f t="shared" si="13"/>
        <v>71425</v>
      </c>
      <c r="AC14" s="124"/>
      <c r="AD14" s="64"/>
    </row>
    <row r="15" spans="1:30" s="20" customFormat="1" ht="18.95" customHeight="1" x14ac:dyDescent="0.2">
      <c r="A15" s="64"/>
      <c r="B15" s="20">
        <v>6</v>
      </c>
      <c r="C15" s="134">
        <v>43617</v>
      </c>
      <c r="D15" s="145">
        <f t="shared" si="2"/>
        <v>73400</v>
      </c>
      <c r="E15" s="124">
        <f t="shared" si="14"/>
        <v>0</v>
      </c>
      <c r="F15" s="124">
        <f t="shared" si="3"/>
        <v>0</v>
      </c>
      <c r="G15" s="124">
        <f t="shared" si="3"/>
        <v>0</v>
      </c>
      <c r="H15" s="124">
        <f t="shared" si="4"/>
        <v>8808</v>
      </c>
      <c r="I15" s="124">
        <f t="shared" si="5"/>
        <v>5872</v>
      </c>
      <c r="J15" s="124">
        <f t="shared" si="6"/>
        <v>0</v>
      </c>
      <c r="K15" s="124">
        <f t="shared" si="7"/>
        <v>0</v>
      </c>
      <c r="L15" s="124">
        <f t="shared" si="7"/>
        <v>0</v>
      </c>
      <c r="M15" s="124">
        <f t="shared" si="8"/>
        <v>0</v>
      </c>
      <c r="N15" s="125">
        <f t="shared" si="9"/>
        <v>88080</v>
      </c>
      <c r="O15" s="124">
        <f t="shared" si="10"/>
        <v>4800</v>
      </c>
      <c r="P15" s="124">
        <f t="shared" si="16"/>
        <v>0</v>
      </c>
      <c r="Q15" s="124">
        <f t="shared" si="17"/>
        <v>3000</v>
      </c>
      <c r="R15" s="124">
        <f t="shared" si="18"/>
        <v>0</v>
      </c>
      <c r="S15" s="124">
        <f>IF($Z$2="No",IF(D15&lt;18001,270,IF(D15&lt;33501,448,IF(D15&lt;54001,670,890))),0)</f>
        <v>890</v>
      </c>
      <c r="T15" s="124">
        <f t="shared" si="19"/>
        <v>100</v>
      </c>
      <c r="U15" s="124">
        <v>0</v>
      </c>
      <c r="V15" s="124">
        <f t="shared" si="11"/>
        <v>0</v>
      </c>
      <c r="W15" s="124">
        <f t="shared" si="11"/>
        <v>0</v>
      </c>
      <c r="X15" s="124">
        <f t="shared" si="11"/>
        <v>8000</v>
      </c>
      <c r="Y15" s="124">
        <f t="shared" ref="Y15:Z15" si="21">Y14</f>
        <v>0</v>
      </c>
      <c r="Z15" s="124">
        <f t="shared" si="21"/>
        <v>0</v>
      </c>
      <c r="AA15" s="128">
        <f t="shared" si="12"/>
        <v>16790</v>
      </c>
      <c r="AB15" s="129">
        <f t="shared" si="13"/>
        <v>71290</v>
      </c>
      <c r="AC15" s="124"/>
      <c r="AD15" s="64"/>
    </row>
    <row r="16" spans="1:30" s="20" customFormat="1" ht="18.95" customHeight="1" x14ac:dyDescent="0.2">
      <c r="A16" s="64"/>
      <c r="B16" s="20">
        <v>7</v>
      </c>
      <c r="C16" s="134">
        <v>43647</v>
      </c>
      <c r="D16" s="145">
        <f>MROUND(ROUND(1.03*D15,0),100)</f>
        <v>75600</v>
      </c>
      <c r="E16" s="124">
        <f t="shared" si="14"/>
        <v>0</v>
      </c>
      <c r="F16" s="124">
        <f>IF(F$12=0,0,F15)</f>
        <v>0</v>
      </c>
      <c r="G16" s="124">
        <f>IF(G$12=0,0,G15)</f>
        <v>0</v>
      </c>
      <c r="H16" s="124">
        <f t="shared" si="4"/>
        <v>9072</v>
      </c>
      <c r="I16" s="124">
        <f t="shared" si="5"/>
        <v>6048</v>
      </c>
      <c r="J16" s="124">
        <f>IF(J$12=0,0,J15)</f>
        <v>0</v>
      </c>
      <c r="K16" s="124">
        <f t="shared" ref="K16" si="22">IF(K$12=0,0,K15)</f>
        <v>0</v>
      </c>
      <c r="L16" s="124">
        <f>IF(L$12=0,0,L15)</f>
        <v>0</v>
      </c>
      <c r="M16" s="124">
        <f>IF(M$12=0,0,M15)</f>
        <v>0</v>
      </c>
      <c r="N16" s="125">
        <f t="shared" si="9"/>
        <v>90720</v>
      </c>
      <c r="O16" s="124">
        <f t="shared" si="10"/>
        <v>4800</v>
      </c>
      <c r="P16" s="124">
        <f>P15</f>
        <v>0</v>
      </c>
      <c r="Q16" s="124">
        <f>Q15</f>
        <v>3000</v>
      </c>
      <c r="R16" s="124">
        <f>R15</f>
        <v>0</v>
      </c>
      <c r="S16" s="124">
        <f>IF($Z$2="No",IF(D16&lt;18001,242,IF(D16&lt;33501,402,IF(D16&lt;54001,602,800))),0)</f>
        <v>800</v>
      </c>
      <c r="T16" s="124">
        <f>T15</f>
        <v>100</v>
      </c>
      <c r="U16" s="124">
        <v>0</v>
      </c>
      <c r="V16" s="124">
        <f>V15</f>
        <v>0</v>
      </c>
      <c r="W16" s="124">
        <f>W15</f>
        <v>0</v>
      </c>
      <c r="X16" s="124">
        <f t="shared" ref="X16:Z23" si="23">X15</f>
        <v>8000</v>
      </c>
      <c r="Y16" s="124">
        <f t="shared" si="23"/>
        <v>0</v>
      </c>
      <c r="Z16" s="124">
        <f t="shared" si="23"/>
        <v>0</v>
      </c>
      <c r="AA16" s="128">
        <f t="shared" si="12"/>
        <v>16700</v>
      </c>
      <c r="AB16" s="129">
        <f t="shared" si="13"/>
        <v>74020</v>
      </c>
      <c r="AC16" s="124"/>
      <c r="AD16" s="64"/>
    </row>
    <row r="17" spans="1:30" s="20" customFormat="1" ht="18.95" customHeight="1" x14ac:dyDescent="0.2">
      <c r="A17" s="64"/>
      <c r="B17" s="20">
        <v>8</v>
      </c>
      <c r="C17" s="134">
        <v>43678</v>
      </c>
      <c r="D17" s="145">
        <f t="shared" ref="D17:D23" si="24">D16</f>
        <v>75600</v>
      </c>
      <c r="E17" s="124">
        <f t="shared" si="14"/>
        <v>0</v>
      </c>
      <c r="F17" s="124">
        <f t="shared" si="3"/>
        <v>0</v>
      </c>
      <c r="G17" s="124">
        <f t="shared" si="3"/>
        <v>0</v>
      </c>
      <c r="H17" s="124">
        <f t="shared" si="4"/>
        <v>9072</v>
      </c>
      <c r="I17" s="124">
        <f t="shared" si="5"/>
        <v>6048</v>
      </c>
      <c r="J17" s="124">
        <f t="shared" si="6"/>
        <v>0</v>
      </c>
      <c r="K17" s="124">
        <f t="shared" si="7"/>
        <v>0</v>
      </c>
      <c r="L17" s="124">
        <f t="shared" si="7"/>
        <v>0</v>
      </c>
      <c r="M17" s="124">
        <f t="shared" si="8"/>
        <v>0</v>
      </c>
      <c r="N17" s="125">
        <f t="shared" si="9"/>
        <v>90720</v>
      </c>
      <c r="O17" s="124">
        <f t="shared" si="10"/>
        <v>4800</v>
      </c>
      <c r="P17" s="124">
        <f t="shared" si="16"/>
        <v>0</v>
      </c>
      <c r="Q17" s="124">
        <f t="shared" si="17"/>
        <v>3000</v>
      </c>
      <c r="R17" s="124">
        <f t="shared" si="18"/>
        <v>0</v>
      </c>
      <c r="S17" s="124">
        <f t="shared" ref="S17:S23" si="25">IF($Z$2="No",IF(D17&lt;18001,242,IF(D17&lt;33501,402,IF(D17&lt;54001,602,800))),0)</f>
        <v>800</v>
      </c>
      <c r="T17" s="124">
        <f t="shared" si="19"/>
        <v>100</v>
      </c>
      <c r="U17" s="124">
        <v>0</v>
      </c>
      <c r="V17" s="124">
        <f t="shared" si="11"/>
        <v>0</v>
      </c>
      <c r="W17" s="124">
        <f t="shared" si="11"/>
        <v>0</v>
      </c>
      <c r="X17" s="124">
        <f t="shared" si="23"/>
        <v>8000</v>
      </c>
      <c r="Y17" s="124">
        <f t="shared" si="23"/>
        <v>0</v>
      </c>
      <c r="Z17" s="124">
        <f t="shared" si="23"/>
        <v>0</v>
      </c>
      <c r="AA17" s="128">
        <f t="shared" si="12"/>
        <v>16700</v>
      </c>
      <c r="AB17" s="129">
        <f t="shared" si="13"/>
        <v>74020</v>
      </c>
      <c r="AC17" s="124"/>
      <c r="AD17" s="64"/>
    </row>
    <row r="18" spans="1:30" s="20" customFormat="1" ht="18.95" customHeight="1" x14ac:dyDescent="0.2">
      <c r="A18" s="64"/>
      <c r="B18" s="20">
        <v>9</v>
      </c>
      <c r="C18" s="134">
        <v>43709</v>
      </c>
      <c r="D18" s="145">
        <f t="shared" si="24"/>
        <v>75600</v>
      </c>
      <c r="E18" s="124">
        <f t="shared" si="14"/>
        <v>0</v>
      </c>
      <c r="F18" s="124">
        <f t="shared" si="3"/>
        <v>0</v>
      </c>
      <c r="G18" s="124">
        <f t="shared" si="3"/>
        <v>0</v>
      </c>
      <c r="H18" s="124">
        <f t="shared" si="4"/>
        <v>9072</v>
      </c>
      <c r="I18" s="124">
        <f t="shared" si="5"/>
        <v>6048</v>
      </c>
      <c r="J18" s="124">
        <f t="shared" si="6"/>
        <v>0</v>
      </c>
      <c r="K18" s="124">
        <f t="shared" si="7"/>
        <v>0</v>
      </c>
      <c r="L18" s="124">
        <f t="shared" si="7"/>
        <v>0</v>
      </c>
      <c r="M18" s="124">
        <f t="shared" si="8"/>
        <v>0</v>
      </c>
      <c r="N18" s="125">
        <f t="shared" si="9"/>
        <v>90720</v>
      </c>
      <c r="O18" s="124">
        <f t="shared" si="10"/>
        <v>4800</v>
      </c>
      <c r="P18" s="124">
        <f t="shared" si="16"/>
        <v>0</v>
      </c>
      <c r="Q18" s="124">
        <f t="shared" si="17"/>
        <v>3000</v>
      </c>
      <c r="R18" s="124">
        <f t="shared" si="18"/>
        <v>0</v>
      </c>
      <c r="S18" s="124">
        <f t="shared" si="25"/>
        <v>800</v>
      </c>
      <c r="T18" s="124">
        <f t="shared" si="19"/>
        <v>100</v>
      </c>
      <c r="U18" s="124">
        <v>0</v>
      </c>
      <c r="V18" s="124">
        <f t="shared" si="11"/>
        <v>0</v>
      </c>
      <c r="W18" s="124">
        <f t="shared" si="11"/>
        <v>0</v>
      </c>
      <c r="X18" s="124">
        <f t="shared" si="23"/>
        <v>8000</v>
      </c>
      <c r="Y18" s="124">
        <f t="shared" si="23"/>
        <v>0</v>
      </c>
      <c r="Z18" s="124">
        <f t="shared" si="23"/>
        <v>0</v>
      </c>
      <c r="AA18" s="128">
        <f t="shared" si="12"/>
        <v>16700</v>
      </c>
      <c r="AB18" s="129">
        <f t="shared" si="13"/>
        <v>74020</v>
      </c>
      <c r="AC18" s="124"/>
      <c r="AD18" s="64"/>
    </row>
    <row r="19" spans="1:30" s="20" customFormat="1" ht="18.95" customHeight="1" x14ac:dyDescent="0.2">
      <c r="A19" s="64"/>
      <c r="B19" s="20">
        <v>10</v>
      </c>
      <c r="C19" s="134">
        <v>43739</v>
      </c>
      <c r="D19" s="145">
        <f t="shared" si="24"/>
        <v>75600</v>
      </c>
      <c r="E19" s="124">
        <f t="shared" si="14"/>
        <v>0</v>
      </c>
      <c r="F19" s="124">
        <f>IF(F$12=0,0,F18)</f>
        <v>0</v>
      </c>
      <c r="G19" s="124">
        <f t="shared" ref="G19:G23" si="26">IF(G$12=0,0,G18)</f>
        <v>0</v>
      </c>
      <c r="H19" s="124">
        <f t="shared" si="4"/>
        <v>9072</v>
      </c>
      <c r="I19" s="124">
        <f t="shared" si="5"/>
        <v>6048</v>
      </c>
      <c r="J19" s="124">
        <f t="shared" si="6"/>
        <v>0</v>
      </c>
      <c r="K19" s="124">
        <f t="shared" si="7"/>
        <v>0</v>
      </c>
      <c r="L19" s="124">
        <f t="shared" si="7"/>
        <v>0</v>
      </c>
      <c r="M19" s="124">
        <f t="shared" si="8"/>
        <v>0</v>
      </c>
      <c r="N19" s="125">
        <f t="shared" si="9"/>
        <v>90720</v>
      </c>
      <c r="O19" s="124">
        <f t="shared" si="10"/>
        <v>4800</v>
      </c>
      <c r="P19" s="124">
        <f t="shared" si="16"/>
        <v>0</v>
      </c>
      <c r="Q19" s="124">
        <f t="shared" si="17"/>
        <v>3000</v>
      </c>
      <c r="R19" s="124">
        <f t="shared" si="18"/>
        <v>0</v>
      </c>
      <c r="S19" s="124">
        <f t="shared" si="25"/>
        <v>800</v>
      </c>
      <c r="T19" s="124">
        <f t="shared" si="19"/>
        <v>100</v>
      </c>
      <c r="U19" s="124">
        <v>0</v>
      </c>
      <c r="V19" s="124">
        <f t="shared" si="11"/>
        <v>0</v>
      </c>
      <c r="W19" s="124">
        <f t="shared" si="11"/>
        <v>0</v>
      </c>
      <c r="X19" s="124">
        <f t="shared" si="23"/>
        <v>8000</v>
      </c>
      <c r="Y19" s="124">
        <f t="shared" si="23"/>
        <v>0</v>
      </c>
      <c r="Z19" s="124">
        <f t="shared" si="23"/>
        <v>0</v>
      </c>
      <c r="AA19" s="128">
        <f t="shared" si="12"/>
        <v>16700</v>
      </c>
      <c r="AB19" s="129">
        <f t="shared" si="13"/>
        <v>74020</v>
      </c>
      <c r="AC19" s="124"/>
      <c r="AD19" s="64"/>
    </row>
    <row r="20" spans="1:30" s="20" customFormat="1" ht="18.95" customHeight="1" x14ac:dyDescent="0.2">
      <c r="A20" s="64"/>
      <c r="B20" s="20">
        <v>11</v>
      </c>
      <c r="C20" s="134">
        <v>43770</v>
      </c>
      <c r="D20" s="145">
        <f t="shared" si="24"/>
        <v>75600</v>
      </c>
      <c r="E20" s="124">
        <f t="shared" si="14"/>
        <v>0</v>
      </c>
      <c r="F20" s="124">
        <f>IF(F$12=0,0,F19)</f>
        <v>0</v>
      </c>
      <c r="G20" s="124">
        <f t="shared" si="26"/>
        <v>0</v>
      </c>
      <c r="H20" s="124">
        <f t="shared" si="4"/>
        <v>9072</v>
      </c>
      <c r="I20" s="124">
        <f t="shared" si="5"/>
        <v>6048</v>
      </c>
      <c r="J20" s="124">
        <f t="shared" si="6"/>
        <v>0</v>
      </c>
      <c r="K20" s="124">
        <f t="shared" si="7"/>
        <v>0</v>
      </c>
      <c r="L20" s="124">
        <f t="shared" si="7"/>
        <v>0</v>
      </c>
      <c r="M20" s="124">
        <f t="shared" si="8"/>
        <v>0</v>
      </c>
      <c r="N20" s="125">
        <f t="shared" si="9"/>
        <v>90720</v>
      </c>
      <c r="O20" s="124">
        <f t="shared" si="10"/>
        <v>4800</v>
      </c>
      <c r="P20" s="124">
        <f t="shared" si="16"/>
        <v>0</v>
      </c>
      <c r="Q20" s="124">
        <f t="shared" si="17"/>
        <v>3000</v>
      </c>
      <c r="R20" s="124">
        <f t="shared" si="18"/>
        <v>0</v>
      </c>
      <c r="S20" s="124">
        <f t="shared" si="25"/>
        <v>800</v>
      </c>
      <c r="T20" s="124">
        <f t="shared" si="19"/>
        <v>100</v>
      </c>
      <c r="U20" s="124">
        <v>0</v>
      </c>
      <c r="V20" s="124">
        <f t="shared" si="11"/>
        <v>0</v>
      </c>
      <c r="W20" s="124">
        <f t="shared" si="11"/>
        <v>0</v>
      </c>
      <c r="X20" s="124">
        <f t="shared" si="23"/>
        <v>8000</v>
      </c>
      <c r="Y20" s="124">
        <f t="shared" si="23"/>
        <v>0</v>
      </c>
      <c r="Z20" s="124">
        <f t="shared" si="23"/>
        <v>0</v>
      </c>
      <c r="AA20" s="128">
        <f t="shared" si="12"/>
        <v>16700</v>
      </c>
      <c r="AB20" s="129">
        <f t="shared" si="13"/>
        <v>74020</v>
      </c>
      <c r="AC20" s="124"/>
      <c r="AD20" s="64"/>
    </row>
    <row r="21" spans="1:30" s="20" customFormat="1" ht="18.95" customHeight="1" x14ac:dyDescent="0.2">
      <c r="A21" s="64"/>
      <c r="B21" s="20">
        <v>12</v>
      </c>
      <c r="C21" s="134">
        <v>43800</v>
      </c>
      <c r="D21" s="145">
        <f t="shared" si="24"/>
        <v>75600</v>
      </c>
      <c r="E21" s="124">
        <f t="shared" si="14"/>
        <v>0</v>
      </c>
      <c r="F21" s="124">
        <f>IF(F$12=0,0,F20)</f>
        <v>0</v>
      </c>
      <c r="G21" s="124">
        <f t="shared" si="26"/>
        <v>0</v>
      </c>
      <c r="H21" s="124">
        <f t="shared" si="4"/>
        <v>9072</v>
      </c>
      <c r="I21" s="124">
        <f t="shared" si="5"/>
        <v>6048</v>
      </c>
      <c r="J21" s="124">
        <f t="shared" si="6"/>
        <v>0</v>
      </c>
      <c r="K21" s="124">
        <f t="shared" si="7"/>
        <v>0</v>
      </c>
      <c r="L21" s="124">
        <f t="shared" si="7"/>
        <v>0</v>
      </c>
      <c r="M21" s="124">
        <f t="shared" si="8"/>
        <v>0</v>
      </c>
      <c r="N21" s="125">
        <f t="shared" si="9"/>
        <v>90720</v>
      </c>
      <c r="O21" s="124">
        <f t="shared" si="10"/>
        <v>4800</v>
      </c>
      <c r="P21" s="124">
        <f t="shared" si="16"/>
        <v>0</v>
      </c>
      <c r="Q21" s="124">
        <f t="shared" si="17"/>
        <v>3000</v>
      </c>
      <c r="R21" s="124">
        <f t="shared" si="18"/>
        <v>0</v>
      </c>
      <c r="S21" s="124">
        <f t="shared" si="25"/>
        <v>800</v>
      </c>
      <c r="T21" s="124">
        <f t="shared" si="19"/>
        <v>100</v>
      </c>
      <c r="U21" s="124">
        <v>0</v>
      </c>
      <c r="V21" s="124">
        <f t="shared" si="11"/>
        <v>0</v>
      </c>
      <c r="W21" s="124">
        <f t="shared" si="11"/>
        <v>0</v>
      </c>
      <c r="X21" s="124">
        <f t="shared" si="23"/>
        <v>8000</v>
      </c>
      <c r="Y21" s="124">
        <f t="shared" si="23"/>
        <v>0</v>
      </c>
      <c r="Z21" s="124">
        <f t="shared" si="23"/>
        <v>0</v>
      </c>
      <c r="AA21" s="128">
        <f t="shared" si="12"/>
        <v>16700</v>
      </c>
      <c r="AB21" s="129">
        <f t="shared" si="13"/>
        <v>74020</v>
      </c>
      <c r="AC21" s="124"/>
      <c r="AD21" s="64"/>
    </row>
    <row r="22" spans="1:30" s="20" customFormat="1" ht="18.95" customHeight="1" x14ac:dyDescent="0.2">
      <c r="A22" s="64"/>
      <c r="B22" s="20">
        <v>1</v>
      </c>
      <c r="C22" s="134">
        <v>43831</v>
      </c>
      <c r="D22" s="145">
        <f t="shared" si="24"/>
        <v>75600</v>
      </c>
      <c r="E22" s="124">
        <f t="shared" si="14"/>
        <v>0</v>
      </c>
      <c r="F22" s="124">
        <f>IF(F$12=0,0,F21)</f>
        <v>0</v>
      </c>
      <c r="G22" s="124">
        <f t="shared" si="26"/>
        <v>0</v>
      </c>
      <c r="H22" s="124">
        <f t="shared" si="4"/>
        <v>9072</v>
      </c>
      <c r="I22" s="124">
        <f t="shared" si="5"/>
        <v>6048</v>
      </c>
      <c r="J22" s="124">
        <f t="shared" si="6"/>
        <v>0</v>
      </c>
      <c r="K22" s="124">
        <f t="shared" si="7"/>
        <v>0</v>
      </c>
      <c r="L22" s="124">
        <f t="shared" si="7"/>
        <v>0</v>
      </c>
      <c r="M22" s="124">
        <f t="shared" si="8"/>
        <v>0</v>
      </c>
      <c r="N22" s="125">
        <f t="shared" si="9"/>
        <v>90720</v>
      </c>
      <c r="O22" s="124">
        <f t="shared" si="10"/>
        <v>4800</v>
      </c>
      <c r="P22" s="124">
        <f t="shared" si="16"/>
        <v>0</v>
      </c>
      <c r="Q22" s="124">
        <f t="shared" si="17"/>
        <v>3000</v>
      </c>
      <c r="R22" s="124">
        <f t="shared" si="18"/>
        <v>0</v>
      </c>
      <c r="S22" s="124">
        <f t="shared" si="25"/>
        <v>800</v>
      </c>
      <c r="T22" s="124">
        <f t="shared" si="19"/>
        <v>100</v>
      </c>
      <c r="U22" s="124">
        <v>0</v>
      </c>
      <c r="V22" s="124">
        <f t="shared" si="11"/>
        <v>0</v>
      </c>
      <c r="W22" s="124">
        <f t="shared" si="11"/>
        <v>0</v>
      </c>
      <c r="X22" s="124">
        <f t="shared" si="23"/>
        <v>8000</v>
      </c>
      <c r="Y22" s="124">
        <f t="shared" si="23"/>
        <v>0</v>
      </c>
      <c r="Z22" s="124">
        <f t="shared" si="23"/>
        <v>0</v>
      </c>
      <c r="AA22" s="128">
        <f t="shared" si="12"/>
        <v>16700</v>
      </c>
      <c r="AB22" s="129">
        <f t="shared" si="13"/>
        <v>74020</v>
      </c>
      <c r="AC22" s="124"/>
      <c r="AD22" s="64"/>
    </row>
    <row r="23" spans="1:30" s="20" customFormat="1" ht="18.95" customHeight="1" x14ac:dyDescent="0.2">
      <c r="A23" s="64"/>
      <c r="B23" s="20">
        <v>2</v>
      </c>
      <c r="C23" s="134">
        <v>43862</v>
      </c>
      <c r="D23" s="145">
        <f t="shared" si="24"/>
        <v>75600</v>
      </c>
      <c r="E23" s="124">
        <f t="shared" si="14"/>
        <v>0</v>
      </c>
      <c r="F23" s="124">
        <f>IF(F$12=0,0,F22)</f>
        <v>0</v>
      </c>
      <c r="G23" s="124">
        <f t="shared" si="26"/>
        <v>0</v>
      </c>
      <c r="H23" s="124">
        <f t="shared" si="4"/>
        <v>9072</v>
      </c>
      <c r="I23" s="124">
        <f t="shared" si="5"/>
        <v>6048</v>
      </c>
      <c r="J23" s="124">
        <f t="shared" si="6"/>
        <v>0</v>
      </c>
      <c r="K23" s="124">
        <f t="shared" si="7"/>
        <v>0</v>
      </c>
      <c r="L23" s="124">
        <f t="shared" si="7"/>
        <v>0</v>
      </c>
      <c r="M23" s="124">
        <f t="shared" si="8"/>
        <v>0</v>
      </c>
      <c r="N23" s="125">
        <f t="shared" si="9"/>
        <v>90720</v>
      </c>
      <c r="O23" s="124">
        <f t="shared" si="10"/>
        <v>4800</v>
      </c>
      <c r="P23" s="124">
        <f t="shared" si="16"/>
        <v>0</v>
      </c>
      <c r="Q23" s="124">
        <f t="shared" si="17"/>
        <v>3000</v>
      </c>
      <c r="R23" s="124">
        <f t="shared" si="18"/>
        <v>0</v>
      </c>
      <c r="S23" s="124">
        <f t="shared" si="25"/>
        <v>800</v>
      </c>
      <c r="T23" s="124">
        <f t="shared" si="19"/>
        <v>100</v>
      </c>
      <c r="U23" s="124">
        <v>0</v>
      </c>
      <c r="V23" s="124">
        <f t="shared" si="11"/>
        <v>0</v>
      </c>
      <c r="W23" s="124">
        <f t="shared" si="11"/>
        <v>0</v>
      </c>
      <c r="X23" s="124">
        <f t="shared" si="23"/>
        <v>8000</v>
      </c>
      <c r="Y23" s="124">
        <f t="shared" si="23"/>
        <v>0</v>
      </c>
      <c r="Z23" s="124">
        <f t="shared" si="23"/>
        <v>0</v>
      </c>
      <c r="AA23" s="128">
        <f t="shared" si="12"/>
        <v>16700</v>
      </c>
      <c r="AB23" s="129">
        <f t="shared" si="13"/>
        <v>74020</v>
      </c>
      <c r="AC23" s="124"/>
      <c r="AD23" s="64"/>
    </row>
    <row r="24" spans="1:30" s="20" customFormat="1" ht="18.95" customHeight="1" x14ac:dyDescent="0.2">
      <c r="A24" s="64"/>
      <c r="C24" s="143" t="s">
        <v>190</v>
      </c>
      <c r="D24" s="145"/>
      <c r="E24" s="124"/>
      <c r="F24" s="124"/>
      <c r="G24" s="124"/>
      <c r="H24" s="124">
        <f>(ROUND(12%*D12,0)-ROUND(9%*D12,0))*2</f>
        <v>4404</v>
      </c>
      <c r="I24" s="124"/>
      <c r="J24" s="124"/>
      <c r="K24" s="124"/>
      <c r="L24" s="124"/>
      <c r="M24" s="124"/>
      <c r="N24" s="125">
        <f t="shared" si="9"/>
        <v>4404</v>
      </c>
      <c r="O24" s="124">
        <f>IF($Z$2="Yes",ROUND((ROUND(12%*D12,0)-ROUND(9%*D12,0))*10%,0)*2,IF($Z$2="No",H24,0))</f>
        <v>4404</v>
      </c>
      <c r="P24" s="124"/>
      <c r="Q24" s="124">
        <v>0</v>
      </c>
      <c r="R24" s="124"/>
      <c r="S24" s="124"/>
      <c r="T24" s="124">
        <v>0</v>
      </c>
      <c r="U24" s="124"/>
      <c r="V24" s="124"/>
      <c r="W24" s="124"/>
      <c r="X24" s="124"/>
      <c r="Y24" s="124"/>
      <c r="Z24" s="124"/>
      <c r="AA24" s="128">
        <f t="shared" si="12"/>
        <v>4404</v>
      </c>
      <c r="AB24" s="129">
        <f t="shared" si="13"/>
        <v>0</v>
      </c>
      <c r="AC24" s="124"/>
      <c r="AD24" s="64"/>
    </row>
    <row r="25" spans="1:30" s="20" customFormat="1" ht="18.95" customHeight="1" x14ac:dyDescent="0.2">
      <c r="A25" s="64"/>
      <c r="C25" s="143" t="s">
        <v>234</v>
      </c>
      <c r="D25" s="145"/>
      <c r="E25" s="124"/>
      <c r="F25" s="124"/>
      <c r="G25" s="124"/>
      <c r="H25" s="124"/>
      <c r="I25" s="124"/>
      <c r="J25" s="124"/>
      <c r="K25" s="124"/>
      <c r="L25" s="124"/>
      <c r="M25" s="124"/>
      <c r="N25" s="125">
        <f t="shared" si="9"/>
        <v>0</v>
      </c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8">
        <f t="shared" si="12"/>
        <v>0</v>
      </c>
      <c r="AB25" s="129">
        <f t="shared" si="13"/>
        <v>0</v>
      </c>
      <c r="AC25" s="124"/>
      <c r="AD25" s="64"/>
    </row>
    <row r="26" spans="1:30" s="20" customFormat="1" ht="18.95" customHeight="1" x14ac:dyDescent="0.2">
      <c r="A26" s="64"/>
      <c r="C26" s="135" t="s">
        <v>71</v>
      </c>
      <c r="D26" s="145">
        <f>IF(L3="NO",0,IF(X3=3,D23,VLOOKUP(X3,B12:D23,3,FALSE)))/2</f>
        <v>0</v>
      </c>
      <c r="E26" s="124"/>
      <c r="F26" s="124"/>
      <c r="G26" s="124"/>
      <c r="H26" s="124">
        <f>ROUND(12%*D26,0)</f>
        <v>0</v>
      </c>
      <c r="I26" s="124"/>
      <c r="J26" s="124"/>
      <c r="K26" s="124"/>
      <c r="L26" s="124"/>
      <c r="M26" s="124"/>
      <c r="N26" s="125">
        <f t="shared" si="9"/>
        <v>0</v>
      </c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8">
        <f t="shared" si="12"/>
        <v>0</v>
      </c>
      <c r="AB26" s="129">
        <f t="shared" si="13"/>
        <v>0</v>
      </c>
      <c r="AC26" s="124"/>
      <c r="AD26" s="64"/>
    </row>
    <row r="27" spans="1:30" s="20" customFormat="1" ht="18.95" customHeight="1" x14ac:dyDescent="0.2">
      <c r="A27" s="64"/>
      <c r="C27" s="135" t="s">
        <v>72</v>
      </c>
      <c r="D27" s="145">
        <f>IF(Z4="Yes",6774,0)</f>
        <v>0</v>
      </c>
      <c r="E27" s="124"/>
      <c r="F27" s="124"/>
      <c r="G27" s="124"/>
      <c r="H27" s="124"/>
      <c r="I27" s="124"/>
      <c r="J27" s="124"/>
      <c r="K27" s="124"/>
      <c r="L27" s="124"/>
      <c r="M27" s="124"/>
      <c r="N27" s="125">
        <f t="shared" si="9"/>
        <v>0</v>
      </c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8">
        <f t="shared" si="12"/>
        <v>0</v>
      </c>
      <c r="AB27" s="129">
        <f t="shared" si="13"/>
        <v>0</v>
      </c>
      <c r="AC27" s="124"/>
      <c r="AD27" s="64"/>
    </row>
    <row r="28" spans="1:30" s="20" customFormat="1" ht="18.95" customHeight="1" x14ac:dyDescent="0.2">
      <c r="A28" s="64"/>
      <c r="C28" s="136" t="s">
        <v>81</v>
      </c>
      <c r="D28" s="145"/>
      <c r="E28" s="124"/>
      <c r="F28" s="124"/>
      <c r="G28" s="124"/>
      <c r="H28" s="124"/>
      <c r="I28" s="124"/>
      <c r="J28" s="124"/>
      <c r="K28" s="124"/>
      <c r="L28" s="124"/>
      <c r="M28" s="124"/>
      <c r="N28" s="125">
        <f t="shared" si="9"/>
        <v>0</v>
      </c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8">
        <f t="shared" si="12"/>
        <v>0</v>
      </c>
      <c r="AB28" s="129">
        <f t="shared" si="13"/>
        <v>0</v>
      </c>
      <c r="AC28" s="124"/>
      <c r="AD28" s="64"/>
    </row>
    <row r="29" spans="1:30" s="20" customFormat="1" ht="18.95" customHeight="1" x14ac:dyDescent="0.2">
      <c r="A29" s="64"/>
      <c r="C29" s="136" t="s">
        <v>241</v>
      </c>
      <c r="D29" s="145"/>
      <c r="E29" s="124"/>
      <c r="F29" s="124"/>
      <c r="G29" s="124"/>
      <c r="H29" s="124"/>
      <c r="I29" s="124"/>
      <c r="J29" s="124"/>
      <c r="K29" s="124"/>
      <c r="L29" s="124"/>
      <c r="M29" s="124"/>
      <c r="N29" s="125">
        <f t="shared" si="9"/>
        <v>0</v>
      </c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8">
        <f t="shared" ref="AA29:AA32" si="27">SUM(O29:Z29)</f>
        <v>0</v>
      </c>
      <c r="AB29" s="129">
        <f t="shared" ref="AB29:AB32" si="28">N29-AA29</f>
        <v>0</v>
      </c>
      <c r="AC29" s="124"/>
      <c r="AD29" s="64"/>
    </row>
    <row r="30" spans="1:30" s="20" customFormat="1" ht="18.95" customHeight="1" x14ac:dyDescent="0.2">
      <c r="A30" s="64"/>
      <c r="C30" s="136" t="s">
        <v>181</v>
      </c>
      <c r="D30" s="145"/>
      <c r="E30" s="124"/>
      <c r="F30" s="124"/>
      <c r="G30" s="124"/>
      <c r="H30" s="124"/>
      <c r="I30" s="124"/>
      <c r="J30" s="124"/>
      <c r="K30" s="124"/>
      <c r="L30" s="124"/>
      <c r="M30" s="124"/>
      <c r="N30" s="125">
        <f t="shared" si="9"/>
        <v>0</v>
      </c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8">
        <f t="shared" si="27"/>
        <v>0</v>
      </c>
      <c r="AB30" s="129">
        <f t="shared" si="28"/>
        <v>0</v>
      </c>
      <c r="AC30" s="124"/>
      <c r="AD30" s="64"/>
    </row>
    <row r="31" spans="1:30" s="20" customFormat="1" ht="18.95" customHeight="1" x14ac:dyDescent="0.2">
      <c r="A31" s="64"/>
      <c r="C31" s="136" t="s">
        <v>182</v>
      </c>
      <c r="D31" s="145"/>
      <c r="E31" s="124"/>
      <c r="F31" s="124"/>
      <c r="G31" s="124"/>
      <c r="H31" s="124"/>
      <c r="I31" s="124"/>
      <c r="J31" s="124"/>
      <c r="K31" s="124"/>
      <c r="L31" s="124"/>
      <c r="M31" s="124"/>
      <c r="N31" s="125">
        <f t="shared" si="9"/>
        <v>0</v>
      </c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8">
        <f t="shared" si="27"/>
        <v>0</v>
      </c>
      <c r="AB31" s="129">
        <f t="shared" si="28"/>
        <v>0</v>
      </c>
      <c r="AC31" s="124"/>
      <c r="AD31" s="64"/>
    </row>
    <row r="32" spans="1:30" s="20" customFormat="1" ht="18.95" customHeight="1" x14ac:dyDescent="0.2">
      <c r="A32" s="64"/>
      <c r="C32" s="137" t="s">
        <v>88</v>
      </c>
      <c r="D32" s="145"/>
      <c r="E32" s="124">
        <v>0</v>
      </c>
      <c r="F32" s="124">
        <v>0</v>
      </c>
      <c r="G32" s="124"/>
      <c r="H32" s="124"/>
      <c r="I32" s="124"/>
      <c r="J32" s="124"/>
      <c r="K32" s="124"/>
      <c r="L32" s="124"/>
      <c r="M32" s="124"/>
      <c r="N32" s="125">
        <f t="shared" si="9"/>
        <v>0</v>
      </c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8">
        <f t="shared" si="27"/>
        <v>0</v>
      </c>
      <c r="AB32" s="129">
        <f t="shared" si="28"/>
        <v>0</v>
      </c>
      <c r="AC32" s="124"/>
      <c r="AD32" s="64"/>
    </row>
    <row r="33" spans="1:30" s="21" customFormat="1" ht="70.5" customHeight="1" x14ac:dyDescent="0.2">
      <c r="A33" s="65"/>
      <c r="C33" s="133" t="s">
        <v>62</v>
      </c>
      <c r="D33" s="131">
        <f>SUM(D12:D32)</f>
        <v>898400</v>
      </c>
      <c r="E33" s="131">
        <f t="shared" ref="E33:AB33" si="29">SUM(E12:E32)</f>
        <v>0</v>
      </c>
      <c r="F33" s="131">
        <f t="shared" si="29"/>
        <v>0</v>
      </c>
      <c r="G33" s="131">
        <f t="shared" si="29"/>
        <v>0</v>
      </c>
      <c r="H33" s="131">
        <f t="shared" si="29"/>
        <v>112212</v>
      </c>
      <c r="I33" s="131">
        <f t="shared" si="29"/>
        <v>71872</v>
      </c>
      <c r="J33" s="131">
        <f t="shared" si="29"/>
        <v>0</v>
      </c>
      <c r="K33" s="131">
        <f t="shared" si="29"/>
        <v>0</v>
      </c>
      <c r="L33" s="131">
        <f t="shared" si="29"/>
        <v>0</v>
      </c>
      <c r="M33" s="131">
        <f t="shared" si="29"/>
        <v>0</v>
      </c>
      <c r="N33" s="131">
        <f t="shared" si="29"/>
        <v>1082484</v>
      </c>
      <c r="O33" s="131">
        <f t="shared" si="29"/>
        <v>62004</v>
      </c>
      <c r="P33" s="131">
        <f t="shared" si="29"/>
        <v>0</v>
      </c>
      <c r="Q33" s="131">
        <f t="shared" si="29"/>
        <v>36000</v>
      </c>
      <c r="R33" s="131">
        <f t="shared" si="29"/>
        <v>0</v>
      </c>
      <c r="S33" s="131">
        <f t="shared" si="29"/>
        <v>9555</v>
      </c>
      <c r="T33" s="131">
        <f t="shared" si="29"/>
        <v>1200</v>
      </c>
      <c r="U33" s="132">
        <f t="shared" si="29"/>
        <v>220</v>
      </c>
      <c r="V33" s="131">
        <f t="shared" si="29"/>
        <v>0</v>
      </c>
      <c r="W33" s="131">
        <f t="shared" si="29"/>
        <v>0</v>
      </c>
      <c r="X33" s="131">
        <f t="shared" si="29"/>
        <v>96000</v>
      </c>
      <c r="Y33" s="131">
        <f t="shared" si="29"/>
        <v>0</v>
      </c>
      <c r="Z33" s="131">
        <f t="shared" si="29"/>
        <v>0</v>
      </c>
      <c r="AA33" s="132">
        <f t="shared" si="29"/>
        <v>204979</v>
      </c>
      <c r="AB33" s="132">
        <f t="shared" si="29"/>
        <v>877505</v>
      </c>
      <c r="AC33" s="42"/>
      <c r="AD33" s="65"/>
    </row>
    <row r="34" spans="1:30" s="7" customFormat="1" x14ac:dyDescent="0.2">
      <c r="A34" s="66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66"/>
    </row>
    <row r="35" spans="1:30" s="7" customFormat="1" x14ac:dyDescent="0.2">
      <c r="A35" s="66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66"/>
    </row>
    <row r="36" spans="1:30" s="7" customFormat="1" x14ac:dyDescent="0.2">
      <c r="A36" s="66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66"/>
    </row>
    <row r="37" spans="1:30" x14ac:dyDescent="0.2"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30" ht="15" x14ac:dyDescent="0.2">
      <c r="C38" s="3"/>
      <c r="D38" s="3"/>
      <c r="E38" s="146" t="s">
        <v>63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146" t="s">
        <v>64</v>
      </c>
      <c r="AC38" s="3"/>
    </row>
    <row r="39" spans="1:30" x14ac:dyDescent="0.2"/>
    <row r="40" spans="1:30" ht="15" x14ac:dyDescent="0.2">
      <c r="C40" s="198" t="s">
        <v>149</v>
      </c>
      <c r="D40" s="198"/>
      <c r="E40" s="198"/>
      <c r="F40" s="198"/>
      <c r="G40" s="198"/>
      <c r="H40" s="198"/>
      <c r="I40" s="198"/>
      <c r="J40" s="198"/>
      <c r="K40" s="198"/>
      <c r="L40" s="198"/>
      <c r="M40" s="198"/>
      <c r="N40" s="198"/>
      <c r="O40" s="198"/>
      <c r="P40" s="198"/>
      <c r="Q40" s="198"/>
      <c r="R40" s="198"/>
      <c r="S40" s="198"/>
      <c r="T40" s="198"/>
      <c r="U40" s="198"/>
      <c r="V40" s="198"/>
      <c r="W40" s="198"/>
      <c r="X40" s="198"/>
      <c r="Y40" s="198"/>
      <c r="Z40" s="198"/>
      <c r="AA40" s="198"/>
      <c r="AB40" s="198"/>
      <c r="AC40" s="198"/>
    </row>
    <row r="41" spans="1:30" x14ac:dyDescent="0.2"/>
    <row r="42" spans="1:30" x14ac:dyDescent="0.2"/>
    <row r="43" spans="1:30" x14ac:dyDescent="0.2"/>
    <row r="44" spans="1:30" x14ac:dyDescent="0.2"/>
  </sheetData>
  <sheetProtection password="CF11" sheet="1" objects="1" scenarios="1" formatColumns="0" selectLockedCell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Z2:AA2"/>
    <mergeCell ref="C6:AC6"/>
    <mergeCell ref="C7:AC7"/>
    <mergeCell ref="AB9:AC9"/>
    <mergeCell ref="Z9:AA9"/>
    <mergeCell ref="D3:K3"/>
    <mergeCell ref="L3:M3"/>
    <mergeCell ref="X3:Y3"/>
    <mergeCell ref="N3:W3"/>
    <mergeCell ref="D2:W2"/>
    <mergeCell ref="P9:R9"/>
    <mergeCell ref="I9:J9"/>
    <mergeCell ref="K9:N9"/>
    <mergeCell ref="D9:H10"/>
    <mergeCell ref="I10:J10"/>
    <mergeCell ref="C40:AC40"/>
    <mergeCell ref="P4:Q4"/>
    <mergeCell ref="Z4:AA4"/>
    <mergeCell ref="R4:W4"/>
    <mergeCell ref="D4:M4"/>
    <mergeCell ref="U9:W9"/>
    <mergeCell ref="K10:M10"/>
    <mergeCell ref="N10:O10"/>
    <mergeCell ref="P10:R10"/>
    <mergeCell ref="Z10:AA10"/>
    <mergeCell ref="AB10:AC10"/>
  </mergeCells>
  <phoneticPr fontId="0" type="noConversion"/>
  <conditionalFormatting sqref="D12:Y32 Y13:Z32">
    <cfRule type="cellIs" dxfId="5" priority="8" stopIfTrue="1" operator="equal">
      <formula>0</formula>
    </cfRule>
  </conditionalFormatting>
  <dataValidations count="3">
    <dataValidation type="list" allowBlank="1" showInputMessage="1" showErrorMessage="1" sqref="P4 Z4 L3 L5 AA5 Z2" xr:uid="{00000000-0002-0000-0100-000000000000}">
      <formula1>"Yes,No"</formula1>
    </dataValidation>
    <dataValidation type="list" allowBlank="1" showInputMessage="1" showErrorMessage="1" sqref="X3:Y3 T5" xr:uid="{00000000-0002-0000-0100-000001000000}">
      <formula1>"4,5,6,7,8,9,10,11,12,1,2,3"</formula1>
    </dataValidation>
    <dataValidation type="list" allowBlank="1" showInputMessage="1" showErrorMessage="1" sqref="AC4" xr:uid="{00000000-0002-0000-0100-000002000000}">
      <formula1>"8%,16%"</formula1>
    </dataValidation>
  </dataValidations>
  <printOptions horizontalCentered="1"/>
  <pageMargins left="0.15748031496062992" right="0.15748031496062992" top="0.39370078740157483" bottom="0.27559055118110237" header="0.35433070866141736" footer="0.23622047244094491"/>
  <pageSetup paperSize="9" scale="74" orientation="landscape" r:id="rId3"/>
  <headerFooter alignWithMargins="0"/>
  <drawing r:id="rId4"/>
  <legacy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rgb="FFFFFF00"/>
  </sheetPr>
  <dimension ref="A1:DR578"/>
  <sheetViews>
    <sheetView zoomScaleNormal="100" workbookViewId="0">
      <selection activeCell="E3" sqref="E3"/>
    </sheetView>
  </sheetViews>
  <sheetFormatPr defaultColWidth="0" defaultRowHeight="15.75" zeroHeight="1" x14ac:dyDescent="0.25"/>
  <cols>
    <col min="1" max="1" width="62.28515625" style="1" customWidth="1"/>
    <col min="2" max="2" width="14.42578125" style="1" customWidth="1"/>
    <col min="3" max="3" width="0.5703125" style="1" customWidth="1"/>
    <col min="4" max="4" width="71.5703125" style="1" customWidth="1"/>
    <col min="5" max="5" width="14.42578125" style="1" customWidth="1"/>
    <col min="6" max="6" width="17.5703125" style="58" customWidth="1"/>
    <col min="7" max="7" width="5.7109375" style="1" customWidth="1"/>
    <col min="8" max="8" width="10.85546875" style="116" hidden="1" customWidth="1"/>
    <col min="9" max="9" width="15.85546875" style="116" hidden="1" customWidth="1"/>
    <col min="10" max="10" width="13" style="116" hidden="1" customWidth="1"/>
    <col min="11" max="11" width="11.5703125" style="116" hidden="1" customWidth="1"/>
    <col min="12" max="12" width="7.7109375" style="116" hidden="1" customWidth="1"/>
    <col min="13" max="13" width="8.28515625" style="116" hidden="1" customWidth="1"/>
    <col min="14" max="14" width="7.85546875" style="116" hidden="1" customWidth="1"/>
    <col min="15" max="16" width="5.140625" style="116" hidden="1" customWidth="1"/>
    <col min="17" max="17" width="7.5703125" style="116" hidden="1" customWidth="1"/>
    <col min="18" max="18" width="7.140625" style="116" hidden="1" customWidth="1"/>
    <col min="19" max="19" width="5.140625" style="116" hidden="1" customWidth="1"/>
    <col min="20" max="20" width="8.85546875" style="116" hidden="1" customWidth="1"/>
    <col min="21" max="21" width="9.140625" style="116" hidden="1" customWidth="1"/>
    <col min="22" max="22" width="5.140625" style="116" hidden="1" customWidth="1"/>
    <col min="23" max="23" width="5.7109375" style="116" hidden="1" customWidth="1"/>
    <col min="24" max="24" width="6" style="116" hidden="1" customWidth="1"/>
    <col min="25" max="25" width="8" style="116" hidden="1" customWidth="1"/>
    <col min="26" max="26" width="7" style="116" hidden="1" customWidth="1"/>
    <col min="27" max="27" width="5.140625" style="116" hidden="1" customWidth="1"/>
    <col min="28" max="28" width="11.140625" style="116" hidden="1" customWidth="1"/>
    <col min="29" max="29" width="11.140625" style="1" hidden="1" customWidth="1"/>
    <col min="30" max="30" width="5.28515625" style="1" hidden="1" customWidth="1"/>
    <col min="31" max="31" width="8.28515625" style="1" hidden="1" customWidth="1"/>
    <col min="32" max="33" width="5.28515625" style="1" hidden="1" customWidth="1"/>
    <col min="34" max="34" width="8.28515625" style="1" hidden="1" customWidth="1"/>
    <col min="35" max="35" width="5.140625" style="1" hidden="1" customWidth="1"/>
    <col min="36" max="37" width="9.5703125" style="1" hidden="1" customWidth="1"/>
    <col min="38" max="38" width="10.5703125" style="1" hidden="1" customWidth="1"/>
    <col min="39" max="39" width="5.140625" style="1" hidden="1" customWidth="1"/>
    <col min="40" max="40" width="7.28515625" style="1" hidden="1" customWidth="1"/>
    <col min="41" max="41" width="7.7109375" style="1" hidden="1" customWidth="1"/>
    <col min="42" max="42" width="5.140625" style="1" hidden="1" customWidth="1"/>
    <col min="43" max="43" width="8" style="1" hidden="1" customWidth="1"/>
    <col min="44" max="44" width="11.42578125" style="1" hidden="1" customWidth="1"/>
    <col min="45" max="45" width="14.28515625" style="1" hidden="1" customWidth="1"/>
    <col min="46" max="46" width="9" style="1" hidden="1" customWidth="1"/>
    <col min="47" max="47" width="5.85546875" style="1" hidden="1" customWidth="1"/>
    <col min="48" max="48" width="7.5703125" style="1" hidden="1" customWidth="1"/>
    <col min="49" max="49" width="13.140625" style="1" hidden="1" customWidth="1"/>
    <col min="50" max="50" width="7.5703125" style="1" hidden="1" customWidth="1"/>
    <col min="51" max="51" width="13.140625" style="1" hidden="1" customWidth="1"/>
    <col min="52" max="52" width="7.5703125" style="1" hidden="1" customWidth="1"/>
    <col min="53" max="53" width="13.140625" style="1" hidden="1" customWidth="1"/>
    <col min="54" max="54" width="7.5703125" style="1" hidden="1" customWidth="1"/>
    <col min="55" max="55" width="13.140625" style="1" hidden="1" customWidth="1"/>
    <col min="56" max="56" width="7.5703125" style="1" hidden="1" customWidth="1"/>
    <col min="57" max="57" width="13.140625" style="1" hidden="1" customWidth="1"/>
    <col min="58" max="58" width="7.5703125" style="1" hidden="1" customWidth="1"/>
    <col min="59" max="59" width="13.140625" style="1" hidden="1" customWidth="1"/>
    <col min="60" max="60" width="7.5703125" style="1" hidden="1" customWidth="1"/>
    <col min="61" max="61" width="13.140625" style="1" hidden="1" customWidth="1"/>
    <col min="62" max="62" width="7.5703125" style="1" hidden="1" customWidth="1"/>
    <col min="63" max="63" width="13.140625" style="1" hidden="1" customWidth="1"/>
    <col min="64" max="64" width="5.140625" style="1" hidden="1" customWidth="1"/>
    <col min="65" max="65" width="7.140625" style="1" hidden="1" customWidth="1"/>
    <col min="66" max="66" width="6.7109375" style="1" hidden="1" customWidth="1"/>
    <col min="67" max="67" width="5.140625" style="1" hidden="1" customWidth="1"/>
    <col min="68" max="69" width="7.7109375" style="1" hidden="1" customWidth="1"/>
    <col min="70" max="71" width="7.28515625" style="1" hidden="1" customWidth="1"/>
    <col min="72" max="72" width="9.7109375" style="1" hidden="1" customWidth="1"/>
    <col min="73" max="73" width="9.28515625" style="1" hidden="1" customWidth="1"/>
    <col min="74" max="74" width="7.7109375" style="1" hidden="1" customWidth="1"/>
    <col min="75" max="75" width="7.85546875" style="1" hidden="1" customWidth="1"/>
    <col min="76" max="76" width="9.28515625" style="1" hidden="1" customWidth="1"/>
    <col min="77" max="77" width="10" style="1" hidden="1" customWidth="1"/>
    <col min="78" max="78" width="7" style="1" hidden="1" customWidth="1"/>
    <col min="79" max="79" width="7.5703125" style="1" hidden="1" customWidth="1"/>
    <col min="80" max="80" width="9.28515625" style="1" hidden="1" customWidth="1"/>
    <col min="81" max="81" width="9" style="1" hidden="1" customWidth="1"/>
    <col min="82" max="82" width="7.7109375" style="1" hidden="1" customWidth="1"/>
    <col min="83" max="83" width="5.140625" style="1" hidden="1" customWidth="1"/>
    <col min="84" max="84" width="7.28515625" style="1" hidden="1" customWidth="1"/>
    <col min="85" max="85" width="6.5703125" style="1" hidden="1" customWidth="1"/>
    <col min="86" max="86" width="6.28515625" style="1" hidden="1" customWidth="1"/>
    <col min="87" max="87" width="6.42578125" style="1" hidden="1" customWidth="1"/>
    <col min="88" max="88" width="5.140625" style="1" hidden="1" customWidth="1"/>
    <col min="89" max="89" width="6.28515625" style="1" hidden="1" customWidth="1"/>
    <col min="90" max="94" width="5.28515625" style="1" hidden="1" customWidth="1"/>
    <col min="95" max="95" width="5.140625" style="1" hidden="1" customWidth="1"/>
    <col min="96" max="96" width="7.5703125" style="1" hidden="1" customWidth="1"/>
    <col min="97" max="97" width="7.28515625" style="1" hidden="1" customWidth="1"/>
    <col min="98" max="98" width="12.85546875" style="1" hidden="1" customWidth="1"/>
    <col min="99" max="99" width="7.28515625" style="1" hidden="1" customWidth="1"/>
    <col min="100" max="100" width="12.85546875" style="1" hidden="1" customWidth="1"/>
    <col min="101" max="101" width="9.85546875" style="1" hidden="1" customWidth="1"/>
    <col min="102" max="102" width="10" style="1" hidden="1" customWidth="1"/>
    <col min="103" max="103" width="13.42578125" style="1" hidden="1" customWidth="1"/>
    <col min="104" max="104" width="10.140625" style="1" hidden="1" customWidth="1"/>
    <col min="105" max="105" width="8.42578125" style="1" hidden="1" customWidth="1"/>
    <col min="106" max="106" width="13.5703125" style="1" hidden="1" customWidth="1"/>
    <col min="107" max="107" width="5.140625" style="1" hidden="1" customWidth="1"/>
    <col min="108" max="108" width="8" style="1" hidden="1" customWidth="1"/>
    <col min="109" max="109" width="11.42578125" style="1" hidden="1" customWidth="1"/>
    <col min="110" max="110" width="7.7109375" style="1" hidden="1" customWidth="1"/>
    <col min="111" max="111" width="7.5703125" style="1" hidden="1" customWidth="1"/>
    <col min="112" max="113" width="5.140625" style="1" hidden="1" customWidth="1"/>
    <col min="114" max="114" width="14.140625" style="1" hidden="1" customWidth="1"/>
    <col min="115" max="115" width="15.5703125" style="1" hidden="1" customWidth="1"/>
    <col min="116" max="116" width="6.85546875" style="1" hidden="1" customWidth="1"/>
    <col min="117" max="122" width="0" style="1" hidden="1" customWidth="1"/>
    <col min="123" max="16384" width="9.140625" style="1" hidden="1"/>
  </cols>
  <sheetData>
    <row r="1" spans="1:122" ht="30.75" customHeight="1" x14ac:dyDescent="0.25">
      <c r="A1" s="222" t="s">
        <v>152</v>
      </c>
      <c r="B1" s="222"/>
      <c r="C1" s="222"/>
      <c r="D1" s="222"/>
      <c r="E1" s="222"/>
      <c r="F1" s="222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22" ht="27.75" customHeight="1" x14ac:dyDescent="0.25">
      <c r="A2" s="223" t="str">
        <f>GA55A!D9&amp; " ,   " &amp;GA55A!K9&amp;"                         PAN-  "&amp;GA55A!P9</f>
        <v>Chandra Prakash Kurmi ,   Lecturer                         PAN-  AAAAA1234A</v>
      </c>
      <c r="B2" s="223"/>
      <c r="C2" s="223"/>
      <c r="D2" s="223"/>
      <c r="E2" s="223"/>
      <c r="F2" s="223"/>
    </row>
    <row r="3" spans="1:122" ht="15" customHeight="1" x14ac:dyDescent="0.25">
      <c r="A3" s="104" t="s">
        <v>121</v>
      </c>
      <c r="B3" s="119">
        <v>0</v>
      </c>
      <c r="C3" s="105"/>
      <c r="D3" s="104" t="s">
        <v>215</v>
      </c>
      <c r="E3" s="119">
        <v>50000</v>
      </c>
      <c r="F3" s="57" t="s">
        <v>26</v>
      </c>
      <c r="DR3" s="5" t="s">
        <v>18</v>
      </c>
    </row>
    <row r="4" spans="1:122" ht="16.5" x14ac:dyDescent="0.25">
      <c r="A4" s="72" t="s">
        <v>122</v>
      </c>
      <c r="B4" s="120">
        <v>0</v>
      </c>
      <c r="C4" s="105"/>
      <c r="D4" s="73" t="s">
        <v>214</v>
      </c>
      <c r="E4" s="120">
        <v>0</v>
      </c>
      <c r="F4" s="57">
        <f>Computation!Q4</f>
        <v>1082484</v>
      </c>
      <c r="DR4" s="5"/>
    </row>
    <row r="5" spans="1:122" ht="15" customHeight="1" x14ac:dyDescent="0.3">
      <c r="A5" s="104" t="s">
        <v>123</v>
      </c>
      <c r="B5" s="119">
        <v>0</v>
      </c>
      <c r="C5" s="105"/>
      <c r="D5" s="114" t="s">
        <v>213</v>
      </c>
      <c r="E5" s="119">
        <v>0</v>
      </c>
      <c r="F5" s="56" t="s">
        <v>27</v>
      </c>
      <c r="I5" s="117">
        <f>SUM(E4:E5)</f>
        <v>0</v>
      </c>
      <c r="DR5" s="5"/>
    </row>
    <row r="6" spans="1:122" ht="17.25" customHeight="1" x14ac:dyDescent="0.25">
      <c r="A6" s="73" t="s">
        <v>124</v>
      </c>
      <c r="B6" s="120">
        <v>0</v>
      </c>
      <c r="C6" s="105"/>
      <c r="D6" s="73" t="s">
        <v>235</v>
      </c>
      <c r="E6" s="120">
        <v>0</v>
      </c>
      <c r="F6" s="56">
        <f>Computation!Q48</f>
        <v>933060</v>
      </c>
      <c r="I6" s="117">
        <f>SUM(E4:E6)</f>
        <v>0</v>
      </c>
      <c r="DR6" s="5"/>
    </row>
    <row r="7" spans="1:122" ht="15" customHeight="1" x14ac:dyDescent="0.25">
      <c r="A7" s="104" t="s">
        <v>125</v>
      </c>
      <c r="B7" s="119">
        <v>0</v>
      </c>
      <c r="C7" s="105"/>
      <c r="D7" s="115" t="s">
        <v>216</v>
      </c>
      <c r="E7" s="119">
        <v>0</v>
      </c>
      <c r="F7" s="57" t="s">
        <v>70</v>
      </c>
      <c r="DR7" s="5"/>
    </row>
    <row r="8" spans="1:122" ht="15" customHeight="1" x14ac:dyDescent="0.25">
      <c r="A8" s="74" t="s">
        <v>126</v>
      </c>
      <c r="B8" s="121">
        <v>0</v>
      </c>
      <c r="C8" s="105"/>
      <c r="D8" s="74" t="s">
        <v>217</v>
      </c>
      <c r="E8" s="121">
        <v>0</v>
      </c>
      <c r="F8" s="60">
        <f>GA55A!X33</f>
        <v>96000</v>
      </c>
      <c r="DR8" s="5"/>
    </row>
    <row r="9" spans="1:122" ht="15" customHeight="1" x14ac:dyDescent="0.25">
      <c r="A9" s="104" t="s">
        <v>127</v>
      </c>
      <c r="B9" s="119">
        <v>0</v>
      </c>
      <c r="C9" s="105"/>
      <c r="D9" s="104" t="s">
        <v>218</v>
      </c>
      <c r="E9" s="119">
        <f>IF(H9&gt;0,H9,0)</f>
        <v>0</v>
      </c>
      <c r="F9" s="224" t="s">
        <v>107</v>
      </c>
      <c r="H9" s="116">
        <f>IF(I9&gt;J9,J9,I9)</f>
        <v>0</v>
      </c>
      <c r="I9" s="118">
        <f>IF(GA55A!Z2="No",0,ROUND(10%*GA55A!N33,0))</f>
        <v>0</v>
      </c>
      <c r="J9" s="118">
        <f>IF(GA55A!Z2="No",0,GA55A!O33)</f>
        <v>0</v>
      </c>
      <c r="DR9" s="5"/>
    </row>
    <row r="10" spans="1:122" ht="15" customHeight="1" x14ac:dyDescent="0.25">
      <c r="A10" s="74" t="s">
        <v>128</v>
      </c>
      <c r="B10" s="121">
        <v>0</v>
      </c>
      <c r="C10" s="105"/>
      <c r="D10" s="74" t="s">
        <v>219</v>
      </c>
      <c r="E10" s="121">
        <v>0</v>
      </c>
      <c r="F10" s="224"/>
      <c r="I10" s="123">
        <f>SUM(Computation!I21:I30,Computation!O21:O29)</f>
        <v>99424</v>
      </c>
      <c r="J10" s="116">
        <f>IF(GA55A!Z2="No",50000,IF(K10&gt;50000,50000,K10))</f>
        <v>50000</v>
      </c>
      <c r="K10" s="116">
        <f>IF(I10&gt;150000,I10-150000,0)</f>
        <v>0</v>
      </c>
      <c r="DR10" s="5" t="s">
        <v>19</v>
      </c>
    </row>
    <row r="11" spans="1:122" ht="15" customHeight="1" x14ac:dyDescent="0.25">
      <c r="A11" s="104" t="s">
        <v>129</v>
      </c>
      <c r="B11" s="119">
        <v>0</v>
      </c>
      <c r="C11" s="105"/>
      <c r="D11" s="104" t="s">
        <v>224</v>
      </c>
      <c r="E11" s="119">
        <v>0</v>
      </c>
      <c r="F11" s="224"/>
      <c r="H11" s="116">
        <f>IF(GA55A!P4="No",25000,50000)</f>
        <v>25000</v>
      </c>
      <c r="DR11" s="5" t="s">
        <v>21</v>
      </c>
    </row>
    <row r="12" spans="1:122" ht="15" customHeight="1" x14ac:dyDescent="0.25">
      <c r="A12" s="74" t="s">
        <v>130</v>
      </c>
      <c r="B12" s="121">
        <v>0</v>
      </c>
      <c r="C12" s="105"/>
      <c r="D12" s="74" t="s">
        <v>220</v>
      </c>
      <c r="E12" s="121">
        <v>0</v>
      </c>
      <c r="F12" s="59">
        <f>Computation!Q31</f>
        <v>99424</v>
      </c>
      <c r="DR12" s="5" t="s">
        <v>4</v>
      </c>
    </row>
    <row r="13" spans="1:122" ht="15" customHeight="1" x14ac:dyDescent="0.25">
      <c r="A13" s="104" t="s">
        <v>131</v>
      </c>
      <c r="B13" s="119">
        <v>0</v>
      </c>
      <c r="C13" s="105"/>
      <c r="D13" s="104" t="s">
        <v>221</v>
      </c>
      <c r="E13" s="119">
        <v>0</v>
      </c>
      <c r="F13" s="59"/>
      <c r="H13" s="116">
        <f>IF(GA55A!P4="No",40000,100000)</f>
        <v>40000</v>
      </c>
      <c r="DR13" s="5"/>
    </row>
    <row r="14" spans="1:122" ht="15" customHeight="1" x14ac:dyDescent="0.25">
      <c r="A14" s="74" t="s">
        <v>132</v>
      </c>
      <c r="B14" s="121">
        <v>0</v>
      </c>
      <c r="C14" s="105"/>
      <c r="D14" s="74" t="s">
        <v>223</v>
      </c>
      <c r="E14" s="121">
        <v>0</v>
      </c>
      <c r="F14" s="225" t="s">
        <v>8</v>
      </c>
      <c r="DR14" s="5" t="s">
        <v>0</v>
      </c>
    </row>
    <row r="15" spans="1:122" ht="15" customHeight="1" x14ac:dyDescent="0.25">
      <c r="A15" s="104" t="s">
        <v>133</v>
      </c>
      <c r="B15" s="119">
        <v>0</v>
      </c>
      <c r="C15" s="105"/>
      <c r="D15" s="104" t="s">
        <v>222</v>
      </c>
      <c r="E15" s="119">
        <v>0</v>
      </c>
      <c r="F15" s="225"/>
      <c r="DR15" s="5" t="s">
        <v>21</v>
      </c>
    </row>
    <row r="16" spans="1:122" ht="15" customHeight="1" x14ac:dyDescent="0.25">
      <c r="A16" s="74" t="s">
        <v>134</v>
      </c>
      <c r="B16" s="121">
        <v>0</v>
      </c>
      <c r="C16" s="105"/>
      <c r="D16" s="74" t="s">
        <v>225</v>
      </c>
      <c r="E16" s="121">
        <v>0</v>
      </c>
      <c r="F16" s="225"/>
      <c r="DR16" s="5" t="s">
        <v>22</v>
      </c>
    </row>
    <row r="17" spans="1:122" ht="15" customHeight="1" x14ac:dyDescent="0.25">
      <c r="A17" s="104" t="s">
        <v>229</v>
      </c>
      <c r="B17" s="119">
        <v>0</v>
      </c>
      <c r="C17" s="105"/>
      <c r="D17" s="104" t="s">
        <v>226</v>
      </c>
      <c r="E17" s="119">
        <v>0</v>
      </c>
      <c r="F17" s="228">
        <f>IF(B3=0,0,ROUND(0.1*H18,0)+B3)</f>
        <v>0</v>
      </c>
      <c r="DR17" s="5" t="s">
        <v>5</v>
      </c>
    </row>
    <row r="18" spans="1:122" ht="15" customHeight="1" x14ac:dyDescent="0.25">
      <c r="A18" s="74" t="s">
        <v>171</v>
      </c>
      <c r="B18" s="121">
        <v>0</v>
      </c>
      <c r="C18" s="105"/>
      <c r="D18" s="74" t="s">
        <v>227</v>
      </c>
      <c r="E18" s="121">
        <v>0</v>
      </c>
      <c r="F18" s="228"/>
      <c r="H18" s="116">
        <f>SUM(GA55A!D12:D23)+SUM(GA55A!H12:H23)</f>
        <v>1006208</v>
      </c>
      <c r="DR18" s="5"/>
    </row>
    <row r="19" spans="1:122" ht="15" customHeight="1" x14ac:dyDescent="0.25">
      <c r="A19" s="104" t="s">
        <v>210</v>
      </c>
      <c r="B19" s="119">
        <v>0</v>
      </c>
      <c r="C19" s="105"/>
      <c r="D19" s="104" t="s">
        <v>228</v>
      </c>
      <c r="E19" s="119">
        <v>0</v>
      </c>
      <c r="F19" s="228"/>
      <c r="DR19" s="5"/>
    </row>
    <row r="20" spans="1:122" ht="15" customHeight="1" x14ac:dyDescent="0.25">
      <c r="A20" s="74" t="s">
        <v>211</v>
      </c>
      <c r="B20" s="121">
        <v>0</v>
      </c>
      <c r="C20" s="105"/>
      <c r="D20" s="74" t="s">
        <v>242</v>
      </c>
      <c r="E20" s="121">
        <v>0</v>
      </c>
      <c r="F20" s="228"/>
      <c r="DR20" s="5" t="s">
        <v>23</v>
      </c>
    </row>
    <row r="21" spans="1:122" ht="15" customHeight="1" x14ac:dyDescent="0.25">
      <c r="A21" s="227" t="str">
        <f>Computation!B64</f>
        <v>Income Tax Payable</v>
      </c>
      <c r="B21" s="227"/>
      <c r="C21" s="112"/>
      <c r="D21" s="107">
        <f>Computation!Q64</f>
        <v>7076</v>
      </c>
      <c r="E21" s="106"/>
      <c r="F21" s="2"/>
      <c r="H21" s="126">
        <f>GA55A!I33</f>
        <v>71872</v>
      </c>
      <c r="DR21" s="5" t="s">
        <v>7</v>
      </c>
    </row>
    <row r="22" spans="1:122" ht="15" customHeight="1" x14ac:dyDescent="0.25">
      <c r="A22" s="226" t="str">
        <f>"Total Rebate of (US 80C, 80CCC,80CCD(1)) =  "&amp;Computation!Q31</f>
        <v>Total Rebate of (US 80C, 80CCC,80CCD(1)) =  99424</v>
      </c>
      <c r="B22" s="226"/>
      <c r="C22" s="113"/>
      <c r="D22" s="61" t="str">
        <f>"Investable Amount = "&amp;(150000-Computation!Q31)</f>
        <v>Investable Amount = 50576</v>
      </c>
      <c r="E22" s="2"/>
      <c r="F22" s="2"/>
      <c r="DR22" s="5" t="s">
        <v>20</v>
      </c>
    </row>
    <row r="23" spans="1:122" ht="48" customHeight="1" x14ac:dyDescent="0.25">
      <c r="A23" s="220" t="s">
        <v>114</v>
      </c>
      <c r="B23" s="221"/>
      <c r="C23" s="221"/>
      <c r="D23" s="221"/>
      <c r="E23" s="221"/>
      <c r="F23" s="221"/>
    </row>
    <row r="578" x14ac:dyDescent="0.25"/>
  </sheetData>
  <sheetProtection password="CFD1" sheet="1" objects="1" scenarios="1" selectLockedCell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3:F23"/>
    <mergeCell ref="A1:F1"/>
    <mergeCell ref="A2:F2"/>
    <mergeCell ref="F9:F11"/>
    <mergeCell ref="F14:F16"/>
    <mergeCell ref="A22:B22"/>
    <mergeCell ref="A21:B21"/>
    <mergeCell ref="F17:F20"/>
  </mergeCells>
  <phoneticPr fontId="0" type="noConversion"/>
  <conditionalFormatting sqref="A21:E22 F22">
    <cfRule type="expression" dxfId="4" priority="9" stopIfTrue="1">
      <formula>$A$21="Income Tax Refundable"</formula>
    </cfRule>
    <cfRule type="expression" dxfId="3" priority="10" stopIfTrue="1">
      <formula>$A$21="Income Tax Payable"</formula>
    </cfRule>
  </conditionalFormatting>
  <conditionalFormatting sqref="DR11:DR22">
    <cfRule type="cellIs" dxfId="2" priority="12" stopIfTrue="1" operator="lessThan">
      <formula>1</formula>
    </cfRule>
  </conditionalFormatting>
  <conditionalFormatting sqref="F21">
    <cfRule type="expression" dxfId="1" priority="1" stopIfTrue="1">
      <formula>$A$21="Income Tax Refundable"</formula>
    </cfRule>
    <cfRule type="expression" dxfId="0" priority="2" stopIfTrue="1">
      <formula>$A$21="Income Tax Payable"</formula>
    </cfRule>
  </conditionalFormatting>
  <dataValidations count="11">
    <dataValidation type="whole" operator="lessThanOrEqual" allowBlank="1" showInputMessage="1" showErrorMessage="1" errorTitle="Sorry...!!! Not Allow" error="HRA Rebate Permissible up to Actual HRA Recieved" sqref="C3:C20" xr:uid="{00000000-0002-0000-0200-000000000000}">
      <formula1>G20</formula1>
    </dataValidation>
    <dataValidation type="whole" allowBlank="1" showInputMessage="1" showErrorMessage="1" errorTitle="ARTICLE 80DDB" sqref="E13" xr:uid="{00000000-0002-0000-0200-000001000000}">
      <formula1>0</formula1>
      <formula2>H13</formula2>
    </dataValidation>
    <dataValidation type="whole" allowBlank="1" showInputMessage="1" showErrorMessage="1" errorTitle="ARTICLE 80D" sqref="E11" xr:uid="{00000000-0002-0000-0200-000002000000}">
      <formula1>0</formula1>
      <formula2>H11</formula2>
    </dataValidation>
    <dataValidation type="whole" allowBlank="1" showInputMessage="1" showErrorMessage="1" errorTitle="80CCD(1B)" error="CHECK THE TOTAL DEDUCTION OF 80C MUST BE EQUAL TO RS. 150000 OR MORE_x000a__x000a_MAX LIMIT UPTO 50000_x000a_" sqref="E10" xr:uid="{00000000-0002-0000-0200-000003000000}">
      <formula1>0</formula1>
      <formula2>J10</formula2>
    </dataValidation>
    <dataValidation type="list" allowBlank="1" showInputMessage="1" showErrorMessage="1" sqref="E3" xr:uid="{00000000-0002-0000-0200-000004000000}">
      <formula1>"0,50000"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200-000005000000}">
      <formula1>H21</formula1>
    </dataValidation>
    <dataValidation type="whole" operator="lessThanOrEqual" allowBlank="1" showInputMessage="1" showErrorMessage="1" error="Maximum 2 lakh allowed_x000a_" sqref="B9" xr:uid="{00000000-0002-0000-0200-000006000000}">
      <formula1>200000</formula1>
    </dataValidation>
    <dataValidation type="whole" operator="lessThanOrEqual" allowBlank="1" showInputMessage="1" showErrorMessage="1" error="max 5000 allowed" sqref="B4" xr:uid="{00000000-0002-0000-0200-000007000000}">
      <formula1>5000</formula1>
    </dataValidation>
    <dataValidation type="whole" operator="lessThanOrEqual" allowBlank="1" showInputMessage="1" showErrorMessage="1" sqref="E16" xr:uid="{00000000-0002-0000-0200-000008000000}">
      <formula1>125000</formula1>
    </dataValidation>
    <dataValidation type="whole" allowBlank="1" showInputMessage="1" showErrorMessage="1" errorTitle="ARTICLE 80DD" sqref="E12" xr:uid="{00000000-0002-0000-0200-000009000000}">
      <formula1>0</formula1>
      <formula2>125000</formula2>
    </dataValidation>
    <dataValidation type="whole" operator="greaterThanOrEqual" allowBlank="1" showInputMessage="1" showErrorMessage="1" sqref="B7" xr:uid="{00000000-0002-0000-0200-00000A000000}">
      <formula1>0</formula1>
    </dataValidation>
  </dataValidations>
  <pageMargins left="0.5" right="0.5" top="0.2" bottom="0.2" header="0" footer="0"/>
  <pageSetup paperSize="9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</sheetPr>
  <dimension ref="A1:R80"/>
  <sheetViews>
    <sheetView showGridLines="0" zoomScaleNormal="100" workbookViewId="0">
      <selection activeCell="P7" sqref="P7:Q9"/>
    </sheetView>
  </sheetViews>
  <sheetFormatPr defaultColWidth="0" defaultRowHeight="15.75" zeroHeight="1" x14ac:dyDescent="0.25"/>
  <cols>
    <col min="1" max="1" width="3" customWidth="1"/>
    <col min="2" max="2" width="2.42578125" style="15" customWidth="1"/>
    <col min="3" max="3" width="4.5703125" style="14" customWidth="1"/>
    <col min="4" max="5" width="9.140625" style="14" customWidth="1"/>
    <col min="6" max="6" width="3.85546875" style="14" customWidth="1"/>
    <col min="7" max="7" width="4.140625" style="14" customWidth="1"/>
    <col min="8" max="8" width="2.7109375" style="14" customWidth="1"/>
    <col min="9" max="9" width="10.5703125" style="14" customWidth="1"/>
    <col min="10" max="10" width="5.140625" style="14" customWidth="1"/>
    <col min="11" max="11" width="10.28515625" style="14" customWidth="1"/>
    <col min="12" max="12" width="12.28515625" style="14" customWidth="1"/>
    <col min="13" max="13" width="9.42578125" style="14" customWidth="1"/>
    <col min="14" max="14" width="3.5703125" style="14" customWidth="1"/>
    <col min="15" max="15" width="13" style="14" customWidth="1"/>
    <col min="16" max="16" width="2.7109375" style="16" bestFit="1" customWidth="1"/>
    <col min="17" max="17" width="14" style="17" customWidth="1"/>
    <col min="18" max="18" width="3.85546875" customWidth="1"/>
    <col min="19" max="16384" width="9.140625" hidden="1"/>
  </cols>
  <sheetData>
    <row r="1" spans="2:17" s="18" customFormat="1" ht="18.75" x14ac:dyDescent="0.2">
      <c r="B1" s="288" t="str">
        <f>GA55A!C6</f>
        <v>Office of the Principal, Govt. Sr. Sec. Sch. Todaraisingh,  (Tonk)</v>
      </c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88"/>
      <c r="N1" s="288"/>
      <c r="O1" s="288"/>
      <c r="P1" s="288"/>
      <c r="Q1" s="288"/>
    </row>
    <row r="2" spans="2:17" s="18" customFormat="1" ht="21" thickBot="1" x14ac:dyDescent="0.25">
      <c r="B2" s="289" t="s">
        <v>191</v>
      </c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</row>
    <row r="3" spans="2:17" s="18" customFormat="1" ht="15" customHeight="1" x14ac:dyDescent="0.2">
      <c r="B3" s="34">
        <v>1</v>
      </c>
      <c r="C3" s="290" t="s">
        <v>10</v>
      </c>
      <c r="D3" s="291"/>
      <c r="E3" s="296" t="str">
        <f>GA55A!D9</f>
        <v>Chandra Prakash Kurmi</v>
      </c>
      <c r="F3" s="296"/>
      <c r="G3" s="296"/>
      <c r="H3" s="296"/>
      <c r="I3" s="296"/>
      <c r="J3" s="296"/>
      <c r="K3" s="35" t="s">
        <v>32</v>
      </c>
      <c r="L3" s="292" t="str">
        <f>GA55A!K9</f>
        <v>Lecturer</v>
      </c>
      <c r="M3" s="292"/>
      <c r="N3" s="292"/>
      <c r="O3" s="36" t="s">
        <v>29</v>
      </c>
      <c r="P3" s="292" t="str">
        <f>IF(GA55A!P9="","",GA55A!P9)</f>
        <v>AAAAA1234A</v>
      </c>
      <c r="Q3" s="293"/>
    </row>
    <row r="4" spans="2:17" s="18" customFormat="1" ht="15" customHeight="1" x14ac:dyDescent="0.2">
      <c r="B4" s="26">
        <v>2</v>
      </c>
      <c r="C4" s="294" t="s">
        <v>192</v>
      </c>
      <c r="D4" s="294"/>
      <c r="E4" s="235"/>
      <c r="F4" s="235"/>
      <c r="G4" s="235"/>
      <c r="H4" s="235"/>
      <c r="I4" s="235"/>
      <c r="J4" s="235"/>
      <c r="K4" s="294"/>
      <c r="L4" s="235"/>
      <c r="M4" s="235"/>
      <c r="N4" s="235"/>
      <c r="O4" s="294"/>
      <c r="P4" s="94" t="s">
        <v>11</v>
      </c>
      <c r="Q4" s="27">
        <f>IF(GA55A!Z2="No",GA55A!N33,(GA55A!N33+GA55A!O33))</f>
        <v>1082484</v>
      </c>
    </row>
    <row r="5" spans="2:17" s="18" customFormat="1" ht="15" customHeight="1" x14ac:dyDescent="0.2">
      <c r="B5" s="26">
        <v>3</v>
      </c>
      <c r="C5" s="235" t="s">
        <v>117</v>
      </c>
      <c r="D5" s="235"/>
      <c r="E5" s="235"/>
      <c r="F5" s="235"/>
      <c r="G5" s="235"/>
      <c r="H5" s="235"/>
      <c r="I5" s="235"/>
      <c r="J5" s="235"/>
      <c r="K5" s="235"/>
      <c r="L5" s="235"/>
      <c r="M5" s="235"/>
      <c r="N5" s="235"/>
      <c r="O5" s="235"/>
      <c r="P5" s="23" t="s">
        <v>11</v>
      </c>
      <c r="Q5" s="28">
        <f>'Other Deduction'!B3+'Other Deduction'!E20</f>
        <v>0</v>
      </c>
    </row>
    <row r="6" spans="2:17" s="18" customFormat="1" ht="15" customHeight="1" x14ac:dyDescent="0.2">
      <c r="B6" s="26">
        <v>4</v>
      </c>
      <c r="C6" s="295" t="s">
        <v>33</v>
      </c>
      <c r="D6" s="295"/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3" t="s">
        <v>11</v>
      </c>
      <c r="Q6" s="28">
        <f>Q4-Q5</f>
        <v>1082484</v>
      </c>
    </row>
    <row r="7" spans="2:17" s="18" customFormat="1" ht="15" customHeight="1" x14ac:dyDescent="0.2">
      <c r="B7" s="251">
        <v>5</v>
      </c>
      <c r="C7" s="231" t="s">
        <v>206</v>
      </c>
      <c r="D7" s="232"/>
      <c r="E7" s="232"/>
      <c r="F7" s="232"/>
      <c r="G7" s="232"/>
      <c r="H7" s="232"/>
      <c r="I7" s="232"/>
      <c r="J7" s="232"/>
      <c r="K7" s="232"/>
      <c r="L7" s="232"/>
      <c r="M7" s="248">
        <f>IF('Other Deduction'!E3=0,0,(IF(AND(Q6&gt;50000,'Other Deduction'!E3=50000),50000,Q6)))</f>
        <v>50000</v>
      </c>
      <c r="N7" s="248"/>
      <c r="O7" s="248"/>
      <c r="P7" s="284"/>
      <c r="Q7" s="297"/>
    </row>
    <row r="8" spans="2:17" s="18" customFormat="1" ht="15" customHeight="1" x14ac:dyDescent="0.2">
      <c r="B8" s="252"/>
      <c r="C8" s="231" t="s">
        <v>207</v>
      </c>
      <c r="D8" s="232"/>
      <c r="E8" s="232"/>
      <c r="F8" s="232"/>
      <c r="G8" s="232"/>
      <c r="H8" s="232"/>
      <c r="I8" s="232"/>
      <c r="J8" s="232"/>
      <c r="K8" s="232"/>
      <c r="L8" s="232"/>
      <c r="M8" s="248">
        <f>'Other Deduction'!B4</f>
        <v>0</v>
      </c>
      <c r="N8" s="248"/>
      <c r="O8" s="248"/>
      <c r="P8" s="298"/>
      <c r="Q8" s="299"/>
    </row>
    <row r="9" spans="2:17" s="18" customFormat="1" ht="15" customHeight="1" x14ac:dyDescent="0.2">
      <c r="B9" s="252"/>
      <c r="C9" s="231" t="s">
        <v>231</v>
      </c>
      <c r="D9" s="232"/>
      <c r="E9" s="232"/>
      <c r="F9" s="232"/>
      <c r="G9" s="232"/>
      <c r="H9" s="232"/>
      <c r="I9" s="232"/>
      <c r="J9" s="232"/>
      <c r="K9" s="232"/>
      <c r="L9" s="232"/>
      <c r="M9" s="248">
        <f>'Other Deduction'!B5</f>
        <v>0</v>
      </c>
      <c r="N9" s="248"/>
      <c r="O9" s="248"/>
      <c r="P9" s="300"/>
      <c r="Q9" s="301"/>
    </row>
    <row r="10" spans="2:17" s="18" customFormat="1" ht="15" customHeight="1" x14ac:dyDescent="0.2">
      <c r="B10" s="253"/>
      <c r="C10" s="278" t="s">
        <v>208</v>
      </c>
      <c r="D10" s="279"/>
      <c r="E10" s="279"/>
      <c r="F10" s="279"/>
      <c r="G10" s="279"/>
      <c r="H10" s="279"/>
      <c r="I10" s="279"/>
      <c r="J10" s="279"/>
      <c r="K10" s="279"/>
      <c r="L10" s="279"/>
      <c r="M10" s="279"/>
      <c r="N10" s="279"/>
      <c r="O10" s="280"/>
      <c r="P10" s="23" t="s">
        <v>11</v>
      </c>
      <c r="Q10" s="28">
        <f>SUM(M7:O9)</f>
        <v>50000</v>
      </c>
    </row>
    <row r="11" spans="2:17" s="18" customFormat="1" ht="15" customHeight="1" x14ac:dyDescent="0.2">
      <c r="B11" s="26">
        <v>6</v>
      </c>
      <c r="C11" s="278" t="s">
        <v>12</v>
      </c>
      <c r="D11" s="279"/>
      <c r="E11" s="279"/>
      <c r="F11" s="279"/>
      <c r="G11" s="279"/>
      <c r="H11" s="279"/>
      <c r="I11" s="279"/>
      <c r="J11" s="279"/>
      <c r="K11" s="279"/>
      <c r="L11" s="279"/>
      <c r="M11" s="279"/>
      <c r="N11" s="279"/>
      <c r="O11" s="280"/>
      <c r="P11" s="23" t="s">
        <v>11</v>
      </c>
      <c r="Q11" s="27">
        <f>Q6-Q10</f>
        <v>1032484</v>
      </c>
    </row>
    <row r="12" spans="2:17" s="18" customFormat="1" ht="15" customHeight="1" x14ac:dyDescent="0.2">
      <c r="B12" s="234">
        <v>7</v>
      </c>
      <c r="C12" s="235" t="s">
        <v>34</v>
      </c>
      <c r="D12" s="235"/>
      <c r="E12" s="235"/>
      <c r="F12" s="235"/>
      <c r="G12" s="235"/>
      <c r="H12" s="235"/>
      <c r="I12" s="235"/>
      <c r="J12" s="235"/>
      <c r="K12" s="236" t="s">
        <v>35</v>
      </c>
      <c r="L12" s="236"/>
      <c r="M12" s="248">
        <f>'Other Deduction'!B6</f>
        <v>0</v>
      </c>
      <c r="N12" s="248"/>
      <c r="O12" s="248"/>
      <c r="P12" s="272"/>
      <c r="Q12" s="273"/>
    </row>
    <row r="13" spans="2:17" s="18" customFormat="1" ht="15" customHeight="1" x14ac:dyDescent="0.2">
      <c r="B13" s="234"/>
      <c r="C13" s="243" t="s">
        <v>36</v>
      </c>
      <c r="D13" s="244"/>
      <c r="E13" s="240" t="s">
        <v>82</v>
      </c>
      <c r="F13" s="241"/>
      <c r="G13" s="242"/>
      <c r="H13" s="274" t="s">
        <v>13</v>
      </c>
      <c r="I13" s="274"/>
      <c r="J13" s="274"/>
      <c r="K13" s="236" t="s">
        <v>37</v>
      </c>
      <c r="L13" s="236"/>
      <c r="M13" s="236" t="s">
        <v>65</v>
      </c>
      <c r="N13" s="236"/>
      <c r="O13" s="236"/>
      <c r="P13" s="272"/>
      <c r="Q13" s="273"/>
    </row>
    <row r="14" spans="2:17" s="18" customFormat="1" ht="15" customHeight="1" x14ac:dyDescent="0.2">
      <c r="B14" s="234"/>
      <c r="C14" s="245"/>
      <c r="D14" s="246"/>
      <c r="E14" s="237">
        <f>ROUND(M12*0.3,0)</f>
        <v>0</v>
      </c>
      <c r="F14" s="238"/>
      <c r="G14" s="239"/>
      <c r="H14" s="248">
        <f>IF((GA55A!W33+'Other Deduction'!B9)&gt;200000,200000,(GA55A!W33+'Other Deduction'!B9))</f>
        <v>0</v>
      </c>
      <c r="I14" s="248"/>
      <c r="J14" s="248"/>
      <c r="K14" s="248">
        <f>'Other Deduction'!B7</f>
        <v>0</v>
      </c>
      <c r="L14" s="248"/>
      <c r="M14" s="248">
        <f>E14+H14+K14</f>
        <v>0</v>
      </c>
      <c r="N14" s="248"/>
      <c r="O14" s="248"/>
      <c r="P14" s="272"/>
      <c r="Q14" s="273"/>
    </row>
    <row r="15" spans="2:17" s="18" customFormat="1" ht="15" customHeight="1" x14ac:dyDescent="0.2">
      <c r="B15" s="26"/>
      <c r="C15" s="275" t="s">
        <v>38</v>
      </c>
      <c r="D15" s="276"/>
      <c r="E15" s="276"/>
      <c r="F15" s="276"/>
      <c r="G15" s="276"/>
      <c r="H15" s="276"/>
      <c r="I15" s="276"/>
      <c r="J15" s="276"/>
      <c r="K15" s="276"/>
      <c r="L15" s="276"/>
      <c r="M15" s="276"/>
      <c r="N15" s="276"/>
      <c r="O15" s="277"/>
      <c r="P15" s="23" t="s">
        <v>11</v>
      </c>
      <c r="Q15" s="28">
        <f>M12-M14</f>
        <v>0</v>
      </c>
    </row>
    <row r="16" spans="2:17" s="18" customFormat="1" ht="15" customHeight="1" x14ac:dyDescent="0.2">
      <c r="B16" s="26">
        <v>8</v>
      </c>
      <c r="C16" s="278" t="s">
        <v>66</v>
      </c>
      <c r="D16" s="279"/>
      <c r="E16" s="279"/>
      <c r="F16" s="279"/>
      <c r="G16" s="279"/>
      <c r="H16" s="279"/>
      <c r="I16" s="279"/>
      <c r="J16" s="279"/>
      <c r="K16" s="279"/>
      <c r="L16" s="279"/>
      <c r="M16" s="279"/>
      <c r="N16" s="279"/>
      <c r="O16" s="280"/>
      <c r="P16" s="23" t="s">
        <v>11</v>
      </c>
      <c r="Q16" s="28">
        <f>Q11+Q15</f>
        <v>1032484</v>
      </c>
    </row>
    <row r="17" spans="2:17" s="18" customFormat="1" ht="15" customHeight="1" x14ac:dyDescent="0.2">
      <c r="B17" s="26">
        <v>9</v>
      </c>
      <c r="C17" s="235" t="s">
        <v>28</v>
      </c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235"/>
      <c r="P17" s="23" t="s">
        <v>11</v>
      </c>
      <c r="Q17" s="28">
        <f>'Other Deduction'!I6</f>
        <v>0</v>
      </c>
    </row>
    <row r="18" spans="2:17" s="18" customFormat="1" ht="15" customHeight="1" x14ac:dyDescent="0.2">
      <c r="B18" s="26">
        <v>10</v>
      </c>
      <c r="C18" s="250" t="s">
        <v>209</v>
      </c>
      <c r="D18" s="250"/>
      <c r="E18" s="250"/>
      <c r="F18" s="250"/>
      <c r="G18" s="250"/>
      <c r="H18" s="250"/>
      <c r="I18" s="250"/>
      <c r="J18" s="250"/>
      <c r="K18" s="250"/>
      <c r="L18" s="250"/>
      <c r="M18" s="250"/>
      <c r="N18" s="250"/>
      <c r="O18" s="250"/>
      <c r="P18" s="23" t="s">
        <v>11</v>
      </c>
      <c r="Q18" s="27">
        <f>Q16+Q17</f>
        <v>1032484</v>
      </c>
    </row>
    <row r="19" spans="2:17" s="18" customFormat="1" ht="15" customHeight="1" x14ac:dyDescent="0.2">
      <c r="B19" s="251">
        <v>11</v>
      </c>
      <c r="C19" s="250" t="s">
        <v>232</v>
      </c>
      <c r="D19" s="250"/>
      <c r="E19" s="250"/>
      <c r="F19" s="250"/>
      <c r="G19" s="250"/>
      <c r="H19" s="250"/>
      <c r="I19" s="250"/>
      <c r="J19" s="250"/>
      <c r="K19" s="250"/>
      <c r="L19" s="250"/>
      <c r="M19" s="250"/>
      <c r="N19" s="250"/>
      <c r="O19" s="250"/>
      <c r="P19" s="250"/>
      <c r="Q19" s="281"/>
    </row>
    <row r="20" spans="2:17" s="18" customFormat="1" ht="15" customHeight="1" x14ac:dyDescent="0.2">
      <c r="B20" s="252"/>
      <c r="C20" s="282" t="s">
        <v>233</v>
      </c>
      <c r="D20" s="282"/>
      <c r="E20" s="282"/>
      <c r="F20" s="282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3"/>
    </row>
    <row r="21" spans="2:17" s="18" customFormat="1" x14ac:dyDescent="0.2">
      <c r="B21" s="252"/>
      <c r="C21" s="8" t="s">
        <v>39</v>
      </c>
      <c r="D21" s="235" t="s">
        <v>73</v>
      </c>
      <c r="E21" s="235"/>
      <c r="F21" s="235"/>
      <c r="G21" s="235"/>
      <c r="H21" s="23" t="s">
        <v>11</v>
      </c>
      <c r="I21" s="139">
        <f>GA55A!Q33</f>
        <v>36000</v>
      </c>
      <c r="J21" s="268" t="s">
        <v>42</v>
      </c>
      <c r="K21" s="262" t="s">
        <v>199</v>
      </c>
      <c r="L21" s="263"/>
      <c r="M21" s="264"/>
      <c r="N21" s="229" t="s">
        <v>11</v>
      </c>
      <c r="O21" s="270">
        <f>IF(GA55A!Z2="Yes",'Other Deduction'!E9,0)</f>
        <v>0</v>
      </c>
      <c r="P21" s="284"/>
      <c r="Q21" s="285"/>
    </row>
    <row r="22" spans="2:17" s="18" customFormat="1" x14ac:dyDescent="0.2">
      <c r="B22" s="252"/>
      <c r="C22" s="8" t="s">
        <v>41</v>
      </c>
      <c r="D22" s="231" t="s">
        <v>74</v>
      </c>
      <c r="E22" s="232"/>
      <c r="F22" s="232"/>
      <c r="G22" s="233"/>
      <c r="H22" s="108" t="s">
        <v>11</v>
      </c>
      <c r="I22" s="139">
        <f>'Other Deduction'!B10+GA55A!T33</f>
        <v>1200</v>
      </c>
      <c r="J22" s="269"/>
      <c r="K22" s="265"/>
      <c r="L22" s="266"/>
      <c r="M22" s="267"/>
      <c r="N22" s="230"/>
      <c r="O22" s="271"/>
      <c r="P22" s="286"/>
      <c r="Q22" s="287"/>
    </row>
    <row r="23" spans="2:17" s="18" customFormat="1" ht="15" customHeight="1" x14ac:dyDescent="0.2">
      <c r="B23" s="252"/>
      <c r="C23" s="8" t="s">
        <v>43</v>
      </c>
      <c r="D23" s="231" t="s">
        <v>75</v>
      </c>
      <c r="E23" s="232"/>
      <c r="F23" s="232"/>
      <c r="G23" s="233"/>
      <c r="H23" s="23" t="s">
        <v>11</v>
      </c>
      <c r="I23" s="139">
        <f>'Other Deduction'!B14</f>
        <v>0</v>
      </c>
      <c r="J23" s="8" t="s">
        <v>44</v>
      </c>
      <c r="K23" s="257" t="s">
        <v>200</v>
      </c>
      <c r="L23" s="257"/>
      <c r="M23" s="257"/>
      <c r="N23" s="23" t="s">
        <v>11</v>
      </c>
      <c r="O23" s="139">
        <f>'Other Deduction'!E8</f>
        <v>0</v>
      </c>
      <c r="P23" s="286"/>
      <c r="Q23" s="287"/>
    </row>
    <row r="24" spans="2:17" s="18" customFormat="1" ht="15" customHeight="1" x14ac:dyDescent="0.2">
      <c r="B24" s="252"/>
      <c r="C24" s="8" t="s">
        <v>45</v>
      </c>
      <c r="D24" s="231" t="s">
        <v>76</v>
      </c>
      <c r="E24" s="232"/>
      <c r="F24" s="232"/>
      <c r="G24" s="233"/>
      <c r="H24" s="23" t="s">
        <v>11</v>
      </c>
      <c r="I24" s="139">
        <f>'Other Deduction'!B16</f>
        <v>0</v>
      </c>
      <c r="J24" s="8" t="s">
        <v>46</v>
      </c>
      <c r="K24" s="257" t="s">
        <v>17</v>
      </c>
      <c r="L24" s="257"/>
      <c r="M24" s="257"/>
      <c r="N24" s="23" t="s">
        <v>11</v>
      </c>
      <c r="O24" s="140">
        <f>'Other Deduction'!B15</f>
        <v>0</v>
      </c>
      <c r="P24" s="286"/>
      <c r="Q24" s="287"/>
    </row>
    <row r="25" spans="2:17" s="18" customFormat="1" ht="15" customHeight="1" x14ac:dyDescent="0.2">
      <c r="B25" s="252"/>
      <c r="C25" s="8" t="s">
        <v>47</v>
      </c>
      <c r="D25" s="231" t="s">
        <v>77</v>
      </c>
      <c r="E25" s="232"/>
      <c r="F25" s="232"/>
      <c r="G25" s="233"/>
      <c r="H25" s="23" t="s">
        <v>11</v>
      </c>
      <c r="I25" s="139">
        <f>'Other Deduction'!B17</f>
        <v>0</v>
      </c>
      <c r="J25" s="8" t="s">
        <v>48</v>
      </c>
      <c r="K25" s="257" t="s">
        <v>103</v>
      </c>
      <c r="L25" s="257"/>
      <c r="M25" s="257"/>
      <c r="N25" s="23" t="s">
        <v>11</v>
      </c>
      <c r="O25" s="140">
        <f>'Other Deduction'!B12</f>
        <v>0</v>
      </c>
      <c r="P25" s="286"/>
      <c r="Q25" s="287"/>
    </row>
    <row r="26" spans="2:17" s="18" customFormat="1" ht="15" customHeight="1" x14ac:dyDescent="0.2">
      <c r="B26" s="252"/>
      <c r="C26" s="8" t="s">
        <v>49</v>
      </c>
      <c r="D26" s="231" t="s">
        <v>78</v>
      </c>
      <c r="E26" s="232"/>
      <c r="F26" s="232"/>
      <c r="G26" s="233"/>
      <c r="H26" s="23" t="s">
        <v>11</v>
      </c>
      <c r="I26" s="139">
        <f>IF(GA55A!Z2="No",GA55A!O33,0)</f>
        <v>62004</v>
      </c>
      <c r="J26" s="8" t="s">
        <v>50</v>
      </c>
      <c r="K26" s="257" t="s">
        <v>106</v>
      </c>
      <c r="L26" s="257"/>
      <c r="M26" s="257"/>
      <c r="N26" s="23" t="s">
        <v>11</v>
      </c>
      <c r="O26" s="139">
        <f>'Other Deduction'!B19</f>
        <v>0</v>
      </c>
      <c r="P26" s="286"/>
      <c r="Q26" s="287"/>
    </row>
    <row r="27" spans="2:17" s="18" customFormat="1" ht="15" customHeight="1" x14ac:dyDescent="0.2">
      <c r="B27" s="252"/>
      <c r="C27" s="8" t="s">
        <v>51</v>
      </c>
      <c r="D27" s="231" t="s">
        <v>111</v>
      </c>
      <c r="E27" s="232"/>
      <c r="F27" s="232"/>
      <c r="G27" s="233"/>
      <c r="H27" s="23" t="s">
        <v>11</v>
      </c>
      <c r="I27" s="140">
        <f>GA55A!U33</f>
        <v>220</v>
      </c>
      <c r="J27" s="8" t="s">
        <v>52</v>
      </c>
      <c r="K27" s="257" t="s">
        <v>105</v>
      </c>
      <c r="L27" s="257"/>
      <c r="M27" s="257"/>
      <c r="N27" s="23" t="s">
        <v>11</v>
      </c>
      <c r="O27" s="139">
        <f>'Other Deduction'!B20</f>
        <v>0</v>
      </c>
      <c r="P27" s="286"/>
      <c r="Q27" s="287"/>
    </row>
    <row r="28" spans="2:17" s="18" customFormat="1" ht="15" customHeight="1" x14ac:dyDescent="0.2">
      <c r="B28" s="252"/>
      <c r="C28" s="8" t="s">
        <v>53</v>
      </c>
      <c r="D28" s="231" t="s">
        <v>9</v>
      </c>
      <c r="E28" s="232"/>
      <c r="F28" s="232"/>
      <c r="G28" s="233"/>
      <c r="H28" s="23" t="s">
        <v>11</v>
      </c>
      <c r="I28" s="140">
        <f>'Other Deduction'!B13</f>
        <v>0</v>
      </c>
      <c r="J28" s="8" t="s">
        <v>54</v>
      </c>
      <c r="K28" s="249" t="s">
        <v>104</v>
      </c>
      <c r="L28" s="249"/>
      <c r="M28" s="249"/>
      <c r="N28" s="23" t="s">
        <v>11</v>
      </c>
      <c r="O28" s="139">
        <f>'Other Deduction'!B11</f>
        <v>0</v>
      </c>
      <c r="P28" s="286"/>
      <c r="Q28" s="287"/>
    </row>
    <row r="29" spans="2:17" s="18" customFormat="1" ht="15" customHeight="1" x14ac:dyDescent="0.2">
      <c r="B29" s="252"/>
      <c r="C29" s="8" t="s">
        <v>55</v>
      </c>
      <c r="D29" s="235" t="s">
        <v>83</v>
      </c>
      <c r="E29" s="235"/>
      <c r="F29" s="235"/>
      <c r="G29" s="235"/>
      <c r="H29" s="23" t="s">
        <v>11</v>
      </c>
      <c r="I29" s="139">
        <f>GA55A!V33+'Other Deduction'!B8</f>
        <v>0</v>
      </c>
      <c r="J29" s="8" t="s">
        <v>172</v>
      </c>
      <c r="K29" s="249" t="s">
        <v>212</v>
      </c>
      <c r="L29" s="249"/>
      <c r="M29" s="249"/>
      <c r="N29" s="23" t="s">
        <v>11</v>
      </c>
      <c r="O29" s="139">
        <f>'Other Deduction'!E7</f>
        <v>0</v>
      </c>
      <c r="P29" s="286"/>
      <c r="Q29" s="287"/>
    </row>
    <row r="30" spans="2:17" s="18" customFormat="1" ht="15" customHeight="1" x14ac:dyDescent="0.2">
      <c r="B30" s="252"/>
      <c r="C30" s="8" t="s">
        <v>40</v>
      </c>
      <c r="D30" s="235" t="s">
        <v>173</v>
      </c>
      <c r="E30" s="235"/>
      <c r="F30" s="235"/>
      <c r="G30" s="235"/>
      <c r="H30" s="23" t="s">
        <v>11</v>
      </c>
      <c r="I30" s="139">
        <f>'Other Deduction'!B18</f>
        <v>0</v>
      </c>
      <c r="J30" s="8" t="s">
        <v>201</v>
      </c>
      <c r="K30" s="254" t="s">
        <v>205</v>
      </c>
      <c r="L30" s="255"/>
      <c r="M30" s="256"/>
      <c r="N30" s="111" t="s">
        <v>11</v>
      </c>
      <c r="O30" s="110">
        <f>SUM(I21:I30)+SUM(O21:O29)</f>
        <v>99424</v>
      </c>
      <c r="P30" s="286"/>
      <c r="Q30" s="287"/>
    </row>
    <row r="31" spans="2:17" s="18" customFormat="1" ht="15" customHeight="1" x14ac:dyDescent="0.2">
      <c r="B31" s="252"/>
      <c r="C31" s="261" t="s">
        <v>100</v>
      </c>
      <c r="D31" s="261"/>
      <c r="E31" s="261"/>
      <c r="F31" s="261"/>
      <c r="G31" s="261"/>
      <c r="H31" s="261"/>
      <c r="I31" s="261"/>
      <c r="J31" s="261"/>
      <c r="K31" s="261"/>
      <c r="L31" s="261"/>
      <c r="M31" s="261"/>
      <c r="N31" s="261"/>
      <c r="O31" s="261"/>
      <c r="P31" s="23" t="s">
        <v>11</v>
      </c>
      <c r="Q31" s="27">
        <f>IF(O30&lt;150001,ROUND(O30,0),150000)</f>
        <v>99424</v>
      </c>
    </row>
    <row r="32" spans="2:17" s="18" customFormat="1" ht="15" customHeight="1" x14ac:dyDescent="0.2">
      <c r="B32" s="252"/>
      <c r="C32" s="258" t="s">
        <v>120</v>
      </c>
      <c r="D32" s="259"/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60"/>
      <c r="P32" s="43"/>
      <c r="Q32" s="138">
        <f>'Other Deduction'!H9</f>
        <v>0</v>
      </c>
    </row>
    <row r="33" spans="2:17" s="18" customFormat="1" ht="15" customHeight="1" x14ac:dyDescent="0.2">
      <c r="B33" s="252"/>
      <c r="C33" s="342" t="s">
        <v>119</v>
      </c>
      <c r="D33" s="343"/>
      <c r="E33" s="343"/>
      <c r="F33" s="343"/>
      <c r="G33" s="343"/>
      <c r="H33" s="343"/>
      <c r="I33" s="343"/>
      <c r="J33" s="343"/>
      <c r="K33" s="343"/>
      <c r="L33" s="343"/>
      <c r="M33" s="343"/>
      <c r="N33" s="343"/>
      <c r="O33" s="344"/>
      <c r="P33" s="23" t="s">
        <v>11</v>
      </c>
      <c r="Q33" s="28">
        <f>IF('Other Deduction'!E10&gt;=50000,50000,'Other Deduction'!E10)</f>
        <v>0</v>
      </c>
    </row>
    <row r="34" spans="2:17" s="18" customFormat="1" ht="15" customHeight="1" x14ac:dyDescent="0.25">
      <c r="B34" s="253"/>
      <c r="C34" s="345" t="s">
        <v>230</v>
      </c>
      <c r="D34" s="346"/>
      <c r="E34" s="346"/>
      <c r="F34" s="346"/>
      <c r="G34" s="346"/>
      <c r="H34" s="346"/>
      <c r="I34" s="346"/>
      <c r="J34" s="346"/>
      <c r="K34" s="346"/>
      <c r="L34" s="346"/>
      <c r="M34" s="346"/>
      <c r="N34" s="346"/>
      <c r="O34" s="347"/>
      <c r="P34" s="23" t="s">
        <v>11</v>
      </c>
      <c r="Q34" s="27">
        <f>SUM(Q31:Q33)</f>
        <v>99424</v>
      </c>
    </row>
    <row r="35" spans="2:17" s="18" customFormat="1" ht="15" customHeight="1" x14ac:dyDescent="0.2">
      <c r="B35" s="251">
        <v>12</v>
      </c>
      <c r="C35" s="250" t="s">
        <v>118</v>
      </c>
      <c r="D35" s="250"/>
      <c r="E35" s="250"/>
      <c r="F35" s="250"/>
      <c r="G35" s="250"/>
      <c r="H35" s="250"/>
      <c r="I35" s="250"/>
      <c r="J35" s="250"/>
      <c r="K35" s="250"/>
      <c r="L35" s="250"/>
      <c r="M35" s="250"/>
      <c r="N35" s="250"/>
      <c r="O35" s="250"/>
      <c r="P35" s="250"/>
      <c r="Q35" s="281"/>
    </row>
    <row r="36" spans="2:17" s="18" customFormat="1" ht="15" customHeight="1" x14ac:dyDescent="0.2">
      <c r="B36" s="252"/>
      <c r="C36" s="338" t="s">
        <v>183</v>
      </c>
      <c r="D36" s="339"/>
      <c r="E36" s="339"/>
      <c r="F36" s="339"/>
      <c r="G36" s="339"/>
      <c r="H36" s="339"/>
      <c r="I36" s="339"/>
      <c r="J36" s="339"/>
      <c r="K36" s="339"/>
      <c r="L36" s="339"/>
      <c r="M36" s="339"/>
      <c r="N36" s="339"/>
      <c r="O36" s="340"/>
      <c r="P36" s="23" t="s">
        <v>11</v>
      </c>
      <c r="Q36" s="28">
        <f>'Other Deduction'!E11</f>
        <v>0</v>
      </c>
    </row>
    <row r="37" spans="2:17" s="18" customFormat="1" ht="15" customHeight="1" x14ac:dyDescent="0.2">
      <c r="B37" s="252"/>
      <c r="C37" s="235" t="s">
        <v>184</v>
      </c>
      <c r="D37" s="235"/>
      <c r="E37" s="235"/>
      <c r="F37" s="235"/>
      <c r="G37" s="235"/>
      <c r="H37" s="235"/>
      <c r="I37" s="235"/>
      <c r="J37" s="235"/>
      <c r="K37" s="235"/>
      <c r="L37" s="235"/>
      <c r="M37" s="235"/>
      <c r="N37" s="235"/>
      <c r="O37" s="235"/>
      <c r="P37" s="23" t="s">
        <v>11</v>
      </c>
      <c r="Q37" s="28">
        <f>'Other Deduction'!E12</f>
        <v>0</v>
      </c>
    </row>
    <row r="38" spans="2:17" s="18" customFormat="1" ht="15" customHeight="1" x14ac:dyDescent="0.2">
      <c r="B38" s="252"/>
      <c r="C38" s="235" t="s">
        <v>185</v>
      </c>
      <c r="D38" s="235"/>
      <c r="E38" s="235"/>
      <c r="F38" s="235"/>
      <c r="G38" s="235"/>
      <c r="H38" s="235"/>
      <c r="I38" s="235"/>
      <c r="J38" s="235"/>
      <c r="K38" s="235"/>
      <c r="L38" s="235"/>
      <c r="M38" s="235"/>
      <c r="N38" s="235"/>
      <c r="O38" s="235"/>
      <c r="P38" s="23" t="s">
        <v>11</v>
      </c>
      <c r="Q38" s="28">
        <f>'Other Deduction'!E13</f>
        <v>0</v>
      </c>
    </row>
    <row r="39" spans="2:17" s="18" customFormat="1" ht="15" customHeight="1" x14ac:dyDescent="0.2">
      <c r="B39" s="252"/>
      <c r="C39" s="235" t="s">
        <v>135</v>
      </c>
      <c r="D39" s="235"/>
      <c r="E39" s="235"/>
      <c r="F39" s="235"/>
      <c r="G39" s="235"/>
      <c r="H39" s="235"/>
      <c r="I39" s="235"/>
      <c r="J39" s="235"/>
      <c r="K39" s="235"/>
      <c r="L39" s="235"/>
      <c r="M39" s="235"/>
      <c r="N39" s="235"/>
      <c r="O39" s="235"/>
      <c r="P39" s="23" t="s">
        <v>11</v>
      </c>
      <c r="Q39" s="28">
        <f>'Other Deduction'!E14</f>
        <v>0</v>
      </c>
    </row>
    <row r="40" spans="2:17" s="18" customFormat="1" ht="15" customHeight="1" x14ac:dyDescent="0.2">
      <c r="B40" s="252"/>
      <c r="C40" s="235" t="s">
        <v>136</v>
      </c>
      <c r="D40" s="235"/>
      <c r="E40" s="235"/>
      <c r="F40" s="235"/>
      <c r="G40" s="235"/>
      <c r="H40" s="235"/>
      <c r="I40" s="235"/>
      <c r="J40" s="235"/>
      <c r="K40" s="235"/>
      <c r="L40" s="235"/>
      <c r="M40" s="235"/>
      <c r="N40" s="235"/>
      <c r="O40" s="235"/>
      <c r="P40" s="23" t="s">
        <v>11</v>
      </c>
      <c r="Q40" s="28">
        <f>'Other Deduction'!E15</f>
        <v>0</v>
      </c>
    </row>
    <row r="41" spans="2:17" s="18" customFormat="1" ht="15" customHeight="1" x14ac:dyDescent="0.2">
      <c r="B41" s="252"/>
      <c r="C41" s="338" t="s">
        <v>137</v>
      </c>
      <c r="D41" s="339"/>
      <c r="E41" s="339"/>
      <c r="F41" s="339"/>
      <c r="G41" s="339"/>
      <c r="H41" s="339"/>
      <c r="I41" s="339"/>
      <c r="J41" s="339"/>
      <c r="K41" s="339"/>
      <c r="L41" s="339"/>
      <c r="M41" s="339"/>
      <c r="N41" s="339"/>
      <c r="O41" s="340"/>
      <c r="P41" s="23" t="s">
        <v>11</v>
      </c>
      <c r="Q41" s="28">
        <f>'Other Deduction'!E16</f>
        <v>0</v>
      </c>
    </row>
    <row r="42" spans="2:17" s="18" customFormat="1" ht="15" customHeight="1" x14ac:dyDescent="0.2">
      <c r="B42" s="252"/>
      <c r="C42" s="231" t="s">
        <v>203</v>
      </c>
      <c r="D42" s="232"/>
      <c r="E42" s="232"/>
      <c r="F42" s="232"/>
      <c r="G42" s="232"/>
      <c r="H42" s="232"/>
      <c r="I42" s="232"/>
      <c r="J42" s="232"/>
      <c r="K42" s="232"/>
      <c r="L42" s="232"/>
      <c r="M42" s="232"/>
      <c r="N42" s="232"/>
      <c r="O42" s="233"/>
      <c r="P42" s="108"/>
      <c r="Q42" s="28">
        <f>IF(GA55A!P4="Yes",0,IF('Other Deduction'!E4&gt;10000,10000,'Other Deduction'!E4))</f>
        <v>0</v>
      </c>
    </row>
    <row r="43" spans="2:17" s="18" customFormat="1" x14ac:dyDescent="0.2">
      <c r="B43" s="252"/>
      <c r="C43" s="231" t="s">
        <v>204</v>
      </c>
      <c r="D43" s="232"/>
      <c r="E43" s="232"/>
      <c r="F43" s="232"/>
      <c r="G43" s="232"/>
      <c r="H43" s="232"/>
      <c r="I43" s="232"/>
      <c r="J43" s="232"/>
      <c r="K43" s="232"/>
      <c r="L43" s="232"/>
      <c r="M43" s="232"/>
      <c r="N43" s="232"/>
      <c r="O43" s="233"/>
      <c r="P43" s="23" t="s">
        <v>11</v>
      </c>
      <c r="Q43" s="28">
        <f>IF(GA55A!P4="No",0,IF('Other Deduction'!I5&lt;50001,'Other Deduction'!I5,50000))</f>
        <v>0</v>
      </c>
    </row>
    <row r="44" spans="2:17" s="18" customFormat="1" ht="15" customHeight="1" x14ac:dyDescent="0.2">
      <c r="B44" s="252"/>
      <c r="C44" s="231" t="s">
        <v>202</v>
      </c>
      <c r="D44" s="232"/>
      <c r="E44" s="232"/>
      <c r="F44" s="232"/>
      <c r="G44" s="232"/>
      <c r="H44" s="232"/>
      <c r="I44" s="232"/>
      <c r="J44" s="232"/>
      <c r="K44" s="232"/>
      <c r="L44" s="232"/>
      <c r="M44" s="232"/>
      <c r="N44" s="232"/>
      <c r="O44" s="233"/>
      <c r="P44" s="44" t="s">
        <v>11</v>
      </c>
      <c r="Q44" s="28">
        <f>'Other Deduction'!E17</f>
        <v>0</v>
      </c>
    </row>
    <row r="45" spans="2:17" s="18" customFormat="1" ht="15" customHeight="1" x14ac:dyDescent="0.2">
      <c r="B45" s="253"/>
      <c r="C45" s="341" t="s">
        <v>56</v>
      </c>
      <c r="D45" s="341"/>
      <c r="E45" s="341"/>
      <c r="F45" s="341"/>
      <c r="G45" s="341"/>
      <c r="H45" s="341"/>
      <c r="I45" s="341"/>
      <c r="J45" s="341"/>
      <c r="K45" s="341"/>
      <c r="L45" s="341"/>
      <c r="M45" s="341"/>
      <c r="N45" s="341"/>
      <c r="O45" s="341"/>
      <c r="P45" s="23" t="s">
        <v>11</v>
      </c>
      <c r="Q45" s="29">
        <f>SUM(Q36:Q44)</f>
        <v>0</v>
      </c>
    </row>
    <row r="46" spans="2:17" s="18" customFormat="1" ht="15" customHeight="1" x14ac:dyDescent="0.2">
      <c r="B46" s="26">
        <v>13</v>
      </c>
      <c r="C46" s="250" t="s">
        <v>115</v>
      </c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3" t="s">
        <v>11</v>
      </c>
      <c r="Q46" s="28">
        <f>Q34+Q45</f>
        <v>99424</v>
      </c>
    </row>
    <row r="47" spans="2:17" s="18" customFormat="1" ht="15" customHeight="1" x14ac:dyDescent="0.2">
      <c r="B47" s="26">
        <v>14</v>
      </c>
      <c r="C47" s="235" t="s">
        <v>67</v>
      </c>
      <c r="D47" s="235"/>
      <c r="E47" s="235"/>
      <c r="F47" s="235"/>
      <c r="G47" s="235"/>
      <c r="H47" s="235"/>
      <c r="I47" s="235"/>
      <c r="J47" s="235"/>
      <c r="K47" s="235"/>
      <c r="L47" s="235"/>
      <c r="M47" s="235"/>
      <c r="N47" s="235"/>
      <c r="O47" s="235"/>
      <c r="P47" s="23" t="s">
        <v>11</v>
      </c>
      <c r="Q47" s="28">
        <f>(Q18-Q46)</f>
        <v>933060</v>
      </c>
    </row>
    <row r="48" spans="2:17" s="18" customFormat="1" x14ac:dyDescent="0.2">
      <c r="B48" s="26">
        <v>15</v>
      </c>
      <c r="C48" s="250" t="s">
        <v>179</v>
      </c>
      <c r="D48" s="250"/>
      <c r="E48" s="250"/>
      <c r="F48" s="250"/>
      <c r="G48" s="250"/>
      <c r="H48" s="250"/>
      <c r="I48" s="250"/>
      <c r="J48" s="250"/>
      <c r="K48" s="250"/>
      <c r="L48" s="250"/>
      <c r="M48" s="250"/>
      <c r="N48" s="250"/>
      <c r="O48" s="250"/>
      <c r="P48" s="23" t="s">
        <v>11</v>
      </c>
      <c r="Q48" s="27">
        <f>ROUND(Q47,-1)</f>
        <v>933060</v>
      </c>
    </row>
    <row r="49" spans="2:17" s="18" customFormat="1" ht="15" customHeight="1" x14ac:dyDescent="0.2">
      <c r="B49" s="251">
        <v>16</v>
      </c>
      <c r="C49" s="235" t="s">
        <v>57</v>
      </c>
      <c r="D49" s="235"/>
      <c r="E49" s="235"/>
      <c r="F49" s="235"/>
      <c r="G49" s="235"/>
      <c r="H49" s="235"/>
      <c r="I49" s="235"/>
      <c r="J49" s="235"/>
      <c r="K49" s="235"/>
      <c r="L49" s="235"/>
      <c r="M49" s="235"/>
      <c r="N49" s="235"/>
      <c r="O49" s="235"/>
      <c r="P49" s="235"/>
      <c r="Q49" s="325"/>
    </row>
    <row r="50" spans="2:17" s="18" customFormat="1" ht="15" customHeight="1" x14ac:dyDescent="0.2">
      <c r="B50" s="252"/>
      <c r="C50" s="326" t="s">
        <v>79</v>
      </c>
      <c r="D50" s="326"/>
      <c r="E50" s="326"/>
      <c r="F50" s="326"/>
      <c r="G50" s="326"/>
      <c r="H50" s="326" t="s">
        <v>95</v>
      </c>
      <c r="I50" s="326"/>
      <c r="J50" s="326"/>
      <c r="K50" s="326"/>
      <c r="L50" s="327" t="s">
        <v>112</v>
      </c>
      <c r="M50" s="328"/>
      <c r="N50" s="328"/>
      <c r="O50" s="329"/>
      <c r="P50" s="9"/>
      <c r="Q50" s="30"/>
    </row>
    <row r="51" spans="2:17" s="18" customFormat="1" ht="15" customHeight="1" x14ac:dyDescent="0.2">
      <c r="B51" s="252"/>
      <c r="C51" s="304" t="s">
        <v>236</v>
      </c>
      <c r="D51" s="305"/>
      <c r="E51" s="306"/>
      <c r="F51" s="303" t="s">
        <v>58</v>
      </c>
      <c r="G51" s="303"/>
      <c r="H51" s="304" t="s">
        <v>237</v>
      </c>
      <c r="I51" s="305"/>
      <c r="J51" s="306"/>
      <c r="K51" s="141" t="s">
        <v>58</v>
      </c>
      <c r="L51" s="304"/>
      <c r="M51" s="305"/>
      <c r="N51" s="306"/>
      <c r="O51" s="141"/>
      <c r="P51" s="23" t="s">
        <v>11</v>
      </c>
      <c r="Q51" s="31">
        <v>0</v>
      </c>
    </row>
    <row r="52" spans="2:17" s="18" customFormat="1" ht="15" customHeight="1" x14ac:dyDescent="0.2">
      <c r="B52" s="252"/>
      <c r="C52" s="304" t="s">
        <v>59</v>
      </c>
      <c r="D52" s="305"/>
      <c r="E52" s="306"/>
      <c r="F52" s="302">
        <v>0.05</v>
      </c>
      <c r="G52" s="303"/>
      <c r="H52" s="303" t="s">
        <v>96</v>
      </c>
      <c r="I52" s="303"/>
      <c r="J52" s="303"/>
      <c r="K52" s="142">
        <v>0.05</v>
      </c>
      <c r="L52" s="304" t="s">
        <v>238</v>
      </c>
      <c r="M52" s="305"/>
      <c r="N52" s="306"/>
      <c r="O52" s="141" t="s">
        <v>58</v>
      </c>
      <c r="P52" s="23" t="s">
        <v>11</v>
      </c>
      <c r="Q52" s="31">
        <f>ROUND(IF(GA55A!P4="No",IF(Q48&lt;250001,0,IF(Q48&gt;500000,12500,((Q48-250000)*0.05))),IF(Q48&lt;300001,0,IF(Q48&gt;500000,10000,((Q48-300000)*0.05)))),0)</f>
        <v>12500</v>
      </c>
    </row>
    <row r="53" spans="2:17" s="18" customFormat="1" ht="15" customHeight="1" x14ac:dyDescent="0.2">
      <c r="B53" s="252"/>
      <c r="C53" s="304" t="s">
        <v>60</v>
      </c>
      <c r="D53" s="305"/>
      <c r="E53" s="306"/>
      <c r="F53" s="302">
        <v>0.2</v>
      </c>
      <c r="G53" s="303"/>
      <c r="H53" s="303" t="s">
        <v>60</v>
      </c>
      <c r="I53" s="303"/>
      <c r="J53" s="303"/>
      <c r="K53" s="142">
        <v>0.2</v>
      </c>
      <c r="L53" s="304" t="s">
        <v>60</v>
      </c>
      <c r="M53" s="305"/>
      <c r="N53" s="306"/>
      <c r="O53" s="142">
        <v>0.2</v>
      </c>
      <c r="P53" s="23" t="s">
        <v>11</v>
      </c>
      <c r="Q53" s="31">
        <f>IF(Q48&lt;500001,0,IF(Q48&gt;1000000,100000,((Q48-500000)*0.2)))</f>
        <v>86612</v>
      </c>
    </row>
    <row r="54" spans="2:17" s="18" customFormat="1" ht="15" customHeight="1" x14ac:dyDescent="0.2">
      <c r="B54" s="252"/>
      <c r="C54" s="330" t="s">
        <v>239</v>
      </c>
      <c r="D54" s="331"/>
      <c r="E54" s="332"/>
      <c r="F54" s="302">
        <v>0.3</v>
      </c>
      <c r="G54" s="303"/>
      <c r="H54" s="303" t="s">
        <v>240</v>
      </c>
      <c r="I54" s="303"/>
      <c r="J54" s="303"/>
      <c r="K54" s="142">
        <v>0.3</v>
      </c>
      <c r="L54" s="304" t="s">
        <v>240</v>
      </c>
      <c r="M54" s="305"/>
      <c r="N54" s="306"/>
      <c r="O54" s="142">
        <v>0.3</v>
      </c>
      <c r="P54" s="23" t="s">
        <v>11</v>
      </c>
      <c r="Q54" s="31">
        <f>IF(Q48&lt;1000001,0,((Q48-1000000)*0.3))</f>
        <v>0</v>
      </c>
    </row>
    <row r="55" spans="2:17" s="18" customFormat="1" ht="15" customHeight="1" x14ac:dyDescent="0.2">
      <c r="B55" s="252"/>
      <c r="C55" s="320" t="s">
        <v>68</v>
      </c>
      <c r="D55" s="321"/>
      <c r="E55" s="321"/>
      <c r="F55" s="321"/>
      <c r="G55" s="321"/>
      <c r="H55" s="321"/>
      <c r="I55" s="321"/>
      <c r="J55" s="321"/>
      <c r="K55" s="321"/>
      <c r="L55" s="321"/>
      <c r="M55" s="321"/>
      <c r="N55" s="321"/>
      <c r="O55" s="322"/>
      <c r="P55" s="23" t="s">
        <v>11</v>
      </c>
      <c r="Q55" s="27">
        <f>SUM(Q51:Q54)</f>
        <v>99112</v>
      </c>
    </row>
    <row r="56" spans="2:17" s="18" customFormat="1" ht="15" customHeight="1" x14ac:dyDescent="0.2">
      <c r="B56" s="252"/>
      <c r="C56" s="333" t="s">
        <v>198</v>
      </c>
      <c r="D56" s="334"/>
      <c r="E56" s="334"/>
      <c r="F56" s="334"/>
      <c r="G56" s="334"/>
      <c r="H56" s="334"/>
      <c r="I56" s="334"/>
      <c r="J56" s="334"/>
      <c r="K56" s="334"/>
      <c r="L56" s="334"/>
      <c r="M56" s="334"/>
      <c r="N56" s="334"/>
      <c r="O56" s="335"/>
      <c r="P56" s="37" t="s">
        <v>11</v>
      </c>
      <c r="Q56" s="28">
        <f>IF(Q48&gt;500000,0,IF(Q55&lt;12501,Q55,12500))</f>
        <v>0</v>
      </c>
    </row>
    <row r="57" spans="2:17" s="18" customFormat="1" ht="15" customHeight="1" x14ac:dyDescent="0.2">
      <c r="B57" s="252"/>
      <c r="C57" s="320" t="s">
        <v>98</v>
      </c>
      <c r="D57" s="321"/>
      <c r="E57" s="321"/>
      <c r="F57" s="321"/>
      <c r="G57" s="321"/>
      <c r="H57" s="321"/>
      <c r="I57" s="321"/>
      <c r="J57" s="321"/>
      <c r="K57" s="321"/>
      <c r="L57" s="321"/>
      <c r="M57" s="321"/>
      <c r="N57" s="321"/>
      <c r="O57" s="322"/>
      <c r="P57" s="37" t="s">
        <v>11</v>
      </c>
      <c r="Q57" s="27">
        <f>Q55-Q56</f>
        <v>99112</v>
      </c>
    </row>
    <row r="58" spans="2:17" s="18" customFormat="1" ht="15" customHeight="1" x14ac:dyDescent="0.2">
      <c r="B58" s="252"/>
      <c r="C58" s="323" t="s">
        <v>180</v>
      </c>
      <c r="D58" s="323"/>
      <c r="E58" s="323"/>
      <c r="F58" s="323"/>
      <c r="G58" s="323"/>
      <c r="H58" s="323"/>
      <c r="I58" s="323"/>
      <c r="J58" s="323"/>
      <c r="K58" s="323"/>
      <c r="L58" s="323"/>
      <c r="M58" s="323"/>
      <c r="N58" s="323"/>
      <c r="O58" s="323"/>
      <c r="P58" s="23" t="s">
        <v>11</v>
      </c>
      <c r="Q58" s="28">
        <f>ROUND(Q57*0.04,0)</f>
        <v>3964</v>
      </c>
    </row>
    <row r="59" spans="2:17" s="18" customFormat="1" ht="15" customHeight="1" x14ac:dyDescent="0.2">
      <c r="B59" s="253"/>
      <c r="C59" s="324" t="s">
        <v>99</v>
      </c>
      <c r="D59" s="324"/>
      <c r="E59" s="324"/>
      <c r="F59" s="324"/>
      <c r="G59" s="324"/>
      <c r="H59" s="324"/>
      <c r="I59" s="324"/>
      <c r="J59" s="324"/>
      <c r="K59" s="324"/>
      <c r="L59" s="324"/>
      <c r="M59" s="324"/>
      <c r="N59" s="324"/>
      <c r="O59" s="324"/>
      <c r="P59" s="23" t="s">
        <v>11</v>
      </c>
      <c r="Q59" s="27">
        <f>SUM(Q57:Q58)</f>
        <v>103076</v>
      </c>
    </row>
    <row r="60" spans="2:17" s="18" customFormat="1" ht="15" customHeight="1" x14ac:dyDescent="0.2">
      <c r="B60" s="26">
        <v>17</v>
      </c>
      <c r="C60" s="231" t="s">
        <v>69</v>
      </c>
      <c r="D60" s="232"/>
      <c r="E60" s="232"/>
      <c r="F60" s="232"/>
      <c r="G60" s="232"/>
      <c r="H60" s="232"/>
      <c r="I60" s="232"/>
      <c r="J60" s="232"/>
      <c r="K60" s="232"/>
      <c r="L60" s="232"/>
      <c r="M60" s="232"/>
      <c r="N60" s="232"/>
      <c r="O60" s="233"/>
      <c r="P60" s="23" t="s">
        <v>11</v>
      </c>
      <c r="Q60" s="28">
        <f>'Other Deduction'!E18</f>
        <v>0</v>
      </c>
    </row>
    <row r="61" spans="2:17" s="18" customFormat="1" ht="15" customHeight="1" x14ac:dyDescent="0.2">
      <c r="B61" s="26">
        <v>18</v>
      </c>
      <c r="C61" s="250" t="s">
        <v>80</v>
      </c>
      <c r="D61" s="250"/>
      <c r="E61" s="250"/>
      <c r="F61" s="250"/>
      <c r="G61" s="250"/>
      <c r="H61" s="250"/>
      <c r="I61" s="250"/>
      <c r="J61" s="250"/>
      <c r="K61" s="250"/>
      <c r="L61" s="250"/>
      <c r="M61" s="250"/>
      <c r="N61" s="250"/>
      <c r="O61" s="250"/>
      <c r="P61" s="23" t="s">
        <v>11</v>
      </c>
      <c r="Q61" s="27">
        <f>Q59-Q60</f>
        <v>103076</v>
      </c>
    </row>
    <row r="62" spans="2:17" ht="33.75" customHeight="1" x14ac:dyDescent="0.2">
      <c r="B62" s="251">
        <v>19</v>
      </c>
      <c r="C62" s="315" t="s">
        <v>61</v>
      </c>
      <c r="D62" s="315"/>
      <c r="E62" s="316"/>
      <c r="F62" s="312" t="s">
        <v>193</v>
      </c>
      <c r="G62" s="312"/>
      <c r="H62" s="312"/>
      <c r="I62" s="312"/>
      <c r="J62" s="313" t="s">
        <v>194</v>
      </c>
      <c r="K62" s="314"/>
      <c r="L62" s="109" t="s">
        <v>196</v>
      </c>
      <c r="M62" s="313" t="s">
        <v>197</v>
      </c>
      <c r="N62" s="314"/>
      <c r="O62" s="75" t="s">
        <v>84</v>
      </c>
      <c r="P62" s="313" t="s">
        <v>195</v>
      </c>
      <c r="Q62" s="337"/>
    </row>
    <row r="63" spans="2:17" x14ac:dyDescent="0.2">
      <c r="B63" s="253"/>
      <c r="C63" s="317"/>
      <c r="D63" s="317"/>
      <c r="E63" s="318"/>
      <c r="F63" s="307">
        <f>SUM(GA55A!X12:X18)</f>
        <v>56000</v>
      </c>
      <c r="G63" s="307"/>
      <c r="H63" s="307"/>
      <c r="I63" s="307"/>
      <c r="J63" s="307">
        <f>SUM(GA55A!X19:X21)</f>
        <v>24000</v>
      </c>
      <c r="K63" s="307"/>
      <c r="L63" s="22">
        <f>GA55A!X22</f>
        <v>8000</v>
      </c>
      <c r="M63" s="307">
        <f>GA55A!X23</f>
        <v>8000</v>
      </c>
      <c r="N63" s="307"/>
      <c r="O63" s="77">
        <f>SUM(GA55A!X24:X32)+'Other Deduction'!E19</f>
        <v>0</v>
      </c>
      <c r="P63" s="308">
        <f>F63+J63+L63+M63+O63</f>
        <v>96000</v>
      </c>
      <c r="Q63" s="309"/>
    </row>
    <row r="64" spans="2:17" ht="16.5" thickBot="1" x14ac:dyDescent="0.25">
      <c r="B64" s="310" t="str">
        <f>IF(Q61&gt;P63,"Income Tax Payable",IF(Q61&lt;P63,"Income Tax Refundable","Income Tax Payble/Refundable"))</f>
        <v>Income Tax Payable</v>
      </c>
      <c r="C64" s="311"/>
      <c r="D64" s="311"/>
      <c r="E64" s="311"/>
      <c r="F64" s="311"/>
      <c r="G64" s="311"/>
      <c r="H64" s="311"/>
      <c r="I64" s="311"/>
      <c r="J64" s="311"/>
      <c r="K64" s="311"/>
      <c r="L64" s="311"/>
      <c r="M64" s="311"/>
      <c r="N64" s="311"/>
      <c r="O64" s="311"/>
      <c r="P64" s="32" t="s">
        <v>11</v>
      </c>
      <c r="Q64" s="33">
        <f>IF(Q61&gt;P63,Q61-P63,P63-Q61)</f>
        <v>7076</v>
      </c>
    </row>
    <row r="65" spans="1:18" x14ac:dyDescent="0.2"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9"/>
      <c r="Q65" s="40"/>
    </row>
    <row r="66" spans="1:18" ht="16.5" x14ac:dyDescent="0.25">
      <c r="B66" s="10"/>
      <c r="C66" s="11"/>
      <c r="D66" s="11"/>
      <c r="E66" s="41" t="s">
        <v>116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x14ac:dyDescent="0.25">
      <c r="B67" s="10"/>
      <c r="C67" s="11"/>
      <c r="D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2"/>
      <c r="Q67" s="13"/>
    </row>
    <row r="68" spans="1:18" s="81" customFormat="1" ht="15.75" customHeight="1" x14ac:dyDescent="0.25">
      <c r="B68" s="82"/>
      <c r="C68" s="336"/>
      <c r="D68" s="336"/>
      <c r="E68" s="336"/>
      <c r="F68" s="336"/>
      <c r="G68" s="336"/>
      <c r="H68" s="336"/>
      <c r="I68" s="336"/>
      <c r="J68" s="336"/>
      <c r="K68" s="336"/>
      <c r="L68" s="336"/>
      <c r="M68" s="336"/>
      <c r="N68" s="336"/>
      <c r="O68" s="336"/>
      <c r="P68" s="336"/>
      <c r="Q68" s="336"/>
    </row>
    <row r="69" spans="1:18" s="81" customFormat="1" ht="15.75" hidden="1" customHeight="1" x14ac:dyDescent="0.25">
      <c r="B69" s="83"/>
      <c r="C69" s="336"/>
      <c r="D69" s="336"/>
      <c r="E69" s="336"/>
      <c r="F69" s="336"/>
      <c r="G69" s="336"/>
      <c r="H69" s="336"/>
      <c r="I69" s="336"/>
      <c r="J69" s="336"/>
      <c r="K69" s="336"/>
      <c r="L69" s="336"/>
      <c r="M69" s="336"/>
      <c r="N69" s="336"/>
      <c r="O69" s="336"/>
      <c r="P69" s="336"/>
      <c r="Q69" s="336"/>
    </row>
    <row r="70" spans="1:18" s="81" customFormat="1" ht="24" hidden="1" customHeight="1" x14ac:dyDescent="0.25">
      <c r="B70" s="82"/>
      <c r="C70" s="336"/>
      <c r="D70" s="336"/>
      <c r="E70" s="336"/>
      <c r="F70" s="336"/>
      <c r="G70" s="336"/>
      <c r="H70" s="336"/>
      <c r="I70" s="336"/>
      <c r="J70" s="336"/>
      <c r="K70" s="336"/>
      <c r="L70" s="336"/>
      <c r="M70" s="336"/>
      <c r="N70" s="336"/>
      <c r="O70" s="336"/>
      <c r="P70" s="336"/>
      <c r="Q70" s="336"/>
    </row>
    <row r="71" spans="1:18" s="81" customFormat="1" ht="15.75" hidden="1" customHeight="1" x14ac:dyDescent="0.25">
      <c r="B71" s="82"/>
      <c r="C71" s="84"/>
      <c r="D71" s="84"/>
      <c r="E71" s="84"/>
      <c r="F71" s="84"/>
      <c r="G71" s="84"/>
      <c r="H71" s="84"/>
      <c r="I71" s="84"/>
      <c r="J71" s="84"/>
      <c r="K71" s="84"/>
      <c r="L71" s="319"/>
      <c r="M71" s="319"/>
      <c r="N71" s="319"/>
      <c r="O71" s="319"/>
      <c r="P71" s="319"/>
      <c r="Q71" s="319"/>
    </row>
    <row r="72" spans="1:18" s="81" customFormat="1" ht="15.75" hidden="1" customHeight="1" x14ac:dyDescent="0.25">
      <c r="B72" s="82"/>
      <c r="C72" s="84"/>
      <c r="D72" s="84"/>
      <c r="E72" s="84"/>
      <c r="F72" s="84"/>
      <c r="G72" s="84"/>
      <c r="H72" s="84"/>
      <c r="I72" s="84"/>
      <c r="J72" s="84"/>
      <c r="K72" s="84"/>
      <c r="L72" s="319"/>
      <c r="M72" s="319"/>
      <c r="N72" s="319"/>
      <c r="O72" s="319"/>
      <c r="P72" s="319"/>
      <c r="Q72" s="319"/>
    </row>
    <row r="73" spans="1:18" s="81" customFormat="1" ht="15.75" hidden="1" customHeight="1" x14ac:dyDescent="0.25">
      <c r="B73" s="82"/>
      <c r="C73" s="84"/>
      <c r="D73" s="84"/>
      <c r="E73" s="84"/>
      <c r="F73" s="84"/>
      <c r="G73" s="84"/>
      <c r="H73" s="84"/>
      <c r="I73" s="84"/>
      <c r="J73" s="84"/>
      <c r="K73" s="84"/>
      <c r="L73" s="319"/>
      <c r="M73" s="319"/>
      <c r="N73" s="319"/>
      <c r="O73" s="319"/>
      <c r="P73" s="319"/>
      <c r="Q73" s="319"/>
    </row>
    <row r="74" spans="1:18" s="81" customFormat="1" ht="15.75" hidden="1" customHeight="1" x14ac:dyDescent="0.25">
      <c r="B74" s="82"/>
      <c r="C74" s="84"/>
      <c r="D74" s="84"/>
      <c r="E74" s="84"/>
      <c r="F74" s="84"/>
      <c r="G74" s="84"/>
      <c r="H74" s="84"/>
      <c r="I74" s="84"/>
      <c r="J74" s="84"/>
      <c r="K74" s="84"/>
      <c r="L74" s="319"/>
      <c r="M74" s="319"/>
      <c r="N74" s="319"/>
      <c r="O74" s="319"/>
      <c r="P74" s="319"/>
      <c r="Q74" s="319"/>
    </row>
    <row r="75" spans="1:18" s="81" customFormat="1" ht="15.75" hidden="1" customHeight="1" x14ac:dyDescent="0.25">
      <c r="B75" s="82"/>
      <c r="C75" s="84"/>
      <c r="D75" s="84"/>
      <c r="E75" s="84"/>
      <c r="F75" s="84"/>
      <c r="G75" s="84"/>
      <c r="H75" s="84"/>
      <c r="I75" s="84"/>
      <c r="J75" s="84"/>
      <c r="K75" s="84"/>
      <c r="L75" s="319"/>
      <c r="M75" s="319"/>
      <c r="N75" s="319"/>
      <c r="O75" s="319"/>
      <c r="P75" s="319"/>
      <c r="Q75" s="319"/>
    </row>
    <row r="76" spans="1:18" s="81" customFormat="1" hidden="1" x14ac:dyDescent="0.25">
      <c r="B76" s="83"/>
      <c r="C76" s="85"/>
      <c r="D76" s="247"/>
      <c r="E76" s="247"/>
      <c r="F76" s="247"/>
      <c r="G76" s="247"/>
      <c r="H76" s="247"/>
      <c r="I76" s="247"/>
      <c r="J76" s="247"/>
      <c r="K76" s="85"/>
      <c r="L76" s="319"/>
      <c r="M76" s="319"/>
      <c r="N76" s="319"/>
      <c r="O76" s="319"/>
      <c r="P76" s="319"/>
      <c r="Q76" s="319"/>
    </row>
    <row r="77" spans="1:18" s="81" customFormat="1" hidden="1" x14ac:dyDescent="0.25">
      <c r="B77" s="83"/>
      <c r="C77" s="85"/>
      <c r="D77" s="85"/>
      <c r="E77" s="85"/>
      <c r="F77" s="85"/>
      <c r="G77" s="85"/>
      <c r="H77" s="85"/>
      <c r="I77" s="85"/>
      <c r="J77" s="85"/>
      <c r="K77" s="85"/>
      <c r="L77" s="319"/>
      <c r="M77" s="319"/>
      <c r="N77" s="319"/>
      <c r="O77" s="319"/>
      <c r="P77" s="319"/>
      <c r="Q77" s="319"/>
    </row>
    <row r="78" spans="1:18" hidden="1" x14ac:dyDescent="0.25">
      <c r="A78" s="67"/>
      <c r="B78" s="68"/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70"/>
      <c r="Q78" s="71"/>
      <c r="R78" s="67"/>
    </row>
    <row r="79" spans="1:18" hidden="1" x14ac:dyDescent="0.25">
      <c r="A79" s="67"/>
      <c r="B79" s="68"/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70"/>
      <c r="Q79" s="71"/>
      <c r="R79" s="67"/>
    </row>
    <row r="80" spans="1:18" hidden="1" x14ac:dyDescent="0.25">
      <c r="A80" s="67"/>
      <c r="B80" s="68"/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70"/>
      <c r="Q80" s="71"/>
      <c r="R80" s="67"/>
    </row>
  </sheetData>
  <sheetProtection password="CF11" sheet="1" objects="1" scenarios="1" selectLockedCell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4">
    <mergeCell ref="F52:G52"/>
    <mergeCell ref="C47:O47"/>
    <mergeCell ref="C48:O48"/>
    <mergeCell ref="F51:G51"/>
    <mergeCell ref="H51:J51"/>
    <mergeCell ref="L51:N51"/>
    <mergeCell ref="D30:G30"/>
    <mergeCell ref="C33:O33"/>
    <mergeCell ref="C34:O34"/>
    <mergeCell ref="C43:O43"/>
    <mergeCell ref="C44:O44"/>
    <mergeCell ref="B35:B45"/>
    <mergeCell ref="C35:Q35"/>
    <mergeCell ref="C36:O36"/>
    <mergeCell ref="C37:O37"/>
    <mergeCell ref="C38:O38"/>
    <mergeCell ref="C39:O39"/>
    <mergeCell ref="C40:O40"/>
    <mergeCell ref="C41:O41"/>
    <mergeCell ref="C45:O45"/>
    <mergeCell ref="L71:Q77"/>
    <mergeCell ref="C55:O55"/>
    <mergeCell ref="C58:O58"/>
    <mergeCell ref="C59:O59"/>
    <mergeCell ref="B49:B59"/>
    <mergeCell ref="C49:Q49"/>
    <mergeCell ref="C50:G50"/>
    <mergeCell ref="H50:K50"/>
    <mergeCell ref="L50:O50"/>
    <mergeCell ref="C53:E53"/>
    <mergeCell ref="C54:E54"/>
    <mergeCell ref="C51:E51"/>
    <mergeCell ref="C52:E52"/>
    <mergeCell ref="F53:G53"/>
    <mergeCell ref="H53:J53"/>
    <mergeCell ref="L53:N53"/>
    <mergeCell ref="H52:J52"/>
    <mergeCell ref="L52:N52"/>
    <mergeCell ref="C56:O56"/>
    <mergeCell ref="C57:O57"/>
    <mergeCell ref="C68:Q70"/>
    <mergeCell ref="P62:Q62"/>
    <mergeCell ref="F63:I63"/>
    <mergeCell ref="J63:K63"/>
    <mergeCell ref="F54:G54"/>
    <mergeCell ref="H54:J54"/>
    <mergeCell ref="L54:N54"/>
    <mergeCell ref="M63:N63"/>
    <mergeCell ref="P63:Q63"/>
    <mergeCell ref="B64:O64"/>
    <mergeCell ref="C60:O60"/>
    <mergeCell ref="C61:O61"/>
    <mergeCell ref="F62:I62"/>
    <mergeCell ref="J62:K62"/>
    <mergeCell ref="M62:N62"/>
    <mergeCell ref="C62:E63"/>
    <mergeCell ref="B62:B63"/>
    <mergeCell ref="B1:Q1"/>
    <mergeCell ref="B2:Q2"/>
    <mergeCell ref="C3:D3"/>
    <mergeCell ref="P3:Q3"/>
    <mergeCell ref="C4:O4"/>
    <mergeCell ref="C5:O5"/>
    <mergeCell ref="C6:O6"/>
    <mergeCell ref="C11:O11"/>
    <mergeCell ref="C7:L7"/>
    <mergeCell ref="M7:O7"/>
    <mergeCell ref="E3:J3"/>
    <mergeCell ref="L3:N3"/>
    <mergeCell ref="B7:B10"/>
    <mergeCell ref="M9:O9"/>
    <mergeCell ref="C9:L9"/>
    <mergeCell ref="P7:Q9"/>
    <mergeCell ref="C8:L8"/>
    <mergeCell ref="M8:O8"/>
    <mergeCell ref="C10:O10"/>
    <mergeCell ref="P12:Q14"/>
    <mergeCell ref="H13:J13"/>
    <mergeCell ref="K13:L13"/>
    <mergeCell ref="C15:O15"/>
    <mergeCell ref="C16:O16"/>
    <mergeCell ref="C17:O17"/>
    <mergeCell ref="C18:O18"/>
    <mergeCell ref="D28:G28"/>
    <mergeCell ref="K28:M28"/>
    <mergeCell ref="M13:O13"/>
    <mergeCell ref="H14:J14"/>
    <mergeCell ref="K14:L14"/>
    <mergeCell ref="M14:O14"/>
    <mergeCell ref="C19:Q19"/>
    <mergeCell ref="C20:Q20"/>
    <mergeCell ref="D21:G21"/>
    <mergeCell ref="D23:G23"/>
    <mergeCell ref="K23:M23"/>
    <mergeCell ref="P21:Q30"/>
    <mergeCell ref="D24:G24"/>
    <mergeCell ref="K24:M24"/>
    <mergeCell ref="D25:G25"/>
    <mergeCell ref="K25:M25"/>
    <mergeCell ref="D26:G26"/>
    <mergeCell ref="N21:N22"/>
    <mergeCell ref="C42:O42"/>
    <mergeCell ref="B12:B14"/>
    <mergeCell ref="C12:J12"/>
    <mergeCell ref="K12:L12"/>
    <mergeCell ref="E14:G14"/>
    <mergeCell ref="E13:G13"/>
    <mergeCell ref="C13:D14"/>
    <mergeCell ref="D76:J76"/>
    <mergeCell ref="M12:O12"/>
    <mergeCell ref="D29:G29"/>
    <mergeCell ref="K29:M29"/>
    <mergeCell ref="C46:O46"/>
    <mergeCell ref="B19:B34"/>
    <mergeCell ref="K30:M30"/>
    <mergeCell ref="K26:M26"/>
    <mergeCell ref="D27:G27"/>
    <mergeCell ref="K27:M27"/>
    <mergeCell ref="C32:O32"/>
    <mergeCell ref="C31:O31"/>
    <mergeCell ref="K21:M22"/>
    <mergeCell ref="D22:G22"/>
    <mergeCell ref="J21:J22"/>
    <mergeCell ref="O21:O22"/>
  </mergeCells>
  <printOptions horizontalCentered="1"/>
  <pageMargins left="0.26" right="0.15" top="0.23622047244094491" bottom="0.27559055118110237" header="0.19685039370078741" footer="0.23622047244094491"/>
  <pageSetup paperSize="9" scale="80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How To Use</vt:lpstr>
      <vt:lpstr>GA55A</vt:lpstr>
      <vt:lpstr>Other Deduction</vt:lpstr>
      <vt:lpstr>Computation</vt:lpstr>
      <vt:lpstr>Computation!Print_Area</vt:lpstr>
      <vt:lpstr>GA55A!Print_Area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CP KURMI</cp:lastModifiedBy>
  <cp:lastPrinted>2019-11-06T17:01:34Z</cp:lastPrinted>
  <dcterms:created xsi:type="dcterms:W3CDTF">2013-12-06T08:14:36Z</dcterms:created>
  <dcterms:modified xsi:type="dcterms:W3CDTF">2020-11-22T05:20:02Z</dcterms:modified>
</cp:coreProperties>
</file>