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Salary Sheet" sheetId="2" r:id="rId1"/>
    <sheet name="Other Deduction" sheetId="1" r:id="rId2"/>
    <sheet name="Tax Old Regime" sheetId="3" r:id="rId3"/>
    <sheet name="Tax New Regime" sheetId="5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'Salary Sheet'!$C$2:$Z$35</definedName>
    <definedName name="_xlnm.Print_Area" localSheetId="3">'Tax New Regime'!$A$1:$P$68</definedName>
    <definedName name="_xlnm.Print_Area" localSheetId="2">'Tax Old Regime'!$A$1:$P$65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'Salary Sheet'!$AA:$XFD</definedName>
    <definedName name="Z_01E6FF9C_BB30_4C32_9D09_6DB93F11503E_.wvu.Cols" localSheetId="3" hidden="1">'Tax New Regime'!$R:$XFD</definedName>
    <definedName name="Z_01E6FF9C_BB30_4C32_9D09_6DB93F11503E_.wvu.Cols" localSheetId="2" hidden="1">'Tax Old Regime'!$R:$XFD</definedName>
    <definedName name="Z_01E6FF9C_BB30_4C32_9D09_6DB93F11503E_.wvu.PrintArea" localSheetId="0" hidden="1">'Salary Sheet'!$C$2:$Z$33</definedName>
    <definedName name="Z_01E6FF9C_BB30_4C32_9D09_6DB93F11503E_.wvu.PrintArea" localSheetId="3" hidden="1">'Tax New Regime'!$A$1:$P$72</definedName>
    <definedName name="Z_01E6FF9C_BB30_4C32_9D09_6DB93F11503E_.wvu.PrintArea" localSheetId="2" hidden="1">'Tax Old Regime'!$A$1:$P$69</definedName>
    <definedName name="Z_01E6FF9C_BB30_4C32_9D09_6DB93F11503E_.wvu.Rows" localSheetId="1" hidden="1">'Other Deduction'!$560:$1048576,'Other Deduction'!$22:$559</definedName>
    <definedName name="Z_01E6FF9C_BB30_4C32_9D09_6DB93F11503E_.wvu.Rows" localSheetId="0" hidden="1">'Salary Sheet'!$946:$1048576,'Salary Sheet'!$34:$945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1" hidden="1">'Other Deduction'!$G:$XFD</definedName>
    <definedName name="Z_483AFC7C_A53B_4837_A853_31CBC6C9ED1B_.wvu.Cols" localSheetId="0" hidden="1">'Salary Sheet'!$AA:$XFD</definedName>
    <definedName name="Z_483AFC7C_A53B_4837_A853_31CBC6C9ED1B_.wvu.Cols" localSheetId="3" hidden="1">'Tax New Regime'!$R:$XFD</definedName>
    <definedName name="Z_483AFC7C_A53B_4837_A853_31CBC6C9ED1B_.wvu.Cols" localSheetId="2" hidden="1">'Tax Old Regime'!$R:$XFD</definedName>
    <definedName name="Z_483AFC7C_A53B_4837_A853_31CBC6C9ED1B_.wvu.PrintArea" localSheetId="0" hidden="1">'Salary Sheet'!$C$2:$Z$33</definedName>
    <definedName name="Z_483AFC7C_A53B_4837_A853_31CBC6C9ED1B_.wvu.PrintArea" localSheetId="3" hidden="1">'Tax New Regime'!$A$1:$P$72</definedName>
    <definedName name="Z_483AFC7C_A53B_4837_A853_31CBC6C9ED1B_.wvu.PrintArea" localSheetId="2" hidden="1">'Tax Old Regime'!$A$1:$P$69</definedName>
    <definedName name="Z_483AFC7C_A53B_4837_A853_31CBC6C9ED1B_.wvu.Rows" localSheetId="1" hidden="1">'Other Deduction'!$560:$1048576,'Other Deduction'!$22:$559</definedName>
    <definedName name="Z_483AFC7C_A53B_4837_A853_31CBC6C9ED1B_.wvu.Rows" localSheetId="0" hidden="1">'Salary Sheet'!$946:$1048576,'Salary Sheet'!$34:$945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P56" i="5"/>
  <c r="P55"/>
  <c r="P54"/>
  <c r="P53"/>
  <c r="P52"/>
  <c r="P51"/>
  <c r="H21" l="1"/>
  <c r="H26"/>
  <c r="H26" i="3"/>
  <c r="A2" i="1"/>
  <c r="N65" i="5"/>
  <c r="L65"/>
  <c r="K65"/>
  <c r="I65"/>
  <c r="E65"/>
  <c r="P62"/>
  <c r="P43"/>
  <c r="P42"/>
  <c r="P41"/>
  <c r="P40"/>
  <c r="P39"/>
  <c r="P38"/>
  <c r="P37"/>
  <c r="P36"/>
  <c r="H29"/>
  <c r="N28"/>
  <c r="H28"/>
  <c r="N27"/>
  <c r="H27"/>
  <c r="N26"/>
  <c r="N25"/>
  <c r="H25"/>
  <c r="N24"/>
  <c r="H24"/>
  <c r="N23"/>
  <c r="H23"/>
  <c r="N22"/>
  <c r="H22"/>
  <c r="N21"/>
  <c r="P17"/>
  <c r="J14"/>
  <c r="G14"/>
  <c r="D14"/>
  <c r="L12"/>
  <c r="L9"/>
  <c r="L8"/>
  <c r="L7"/>
  <c r="O3"/>
  <c r="K3"/>
  <c r="D3"/>
  <c r="A1"/>
  <c r="P42" i="3"/>
  <c r="O3"/>
  <c r="K3"/>
  <c r="D3"/>
  <c r="O8" i="2"/>
  <c r="O9" s="1"/>
  <c r="O10" s="1"/>
  <c r="O11" s="1"/>
  <c r="O12" s="1"/>
  <c r="O13" s="1"/>
  <c r="O14" s="1"/>
  <c r="O15" s="1"/>
  <c r="O16" s="1"/>
  <c r="O17" s="1"/>
  <c r="O18" s="1"/>
  <c r="O19" s="1"/>
  <c r="O65" i="5" l="1"/>
  <c r="L14"/>
  <c r="P15" s="1"/>
  <c r="O7" i="2"/>
  <c r="O20" l="1"/>
  <c r="D8" l="1"/>
  <c r="D12" s="1"/>
  <c r="H29" i="3"/>
  <c r="S9" i="2"/>
  <c r="S10" s="1"/>
  <c r="S11" s="1"/>
  <c r="S12" s="1"/>
  <c r="S13" s="1"/>
  <c r="S14" s="1"/>
  <c r="S15" s="1"/>
  <c r="S16" s="1"/>
  <c r="S17" s="1"/>
  <c r="S18" s="1"/>
  <c r="S19" s="1"/>
  <c r="D9" l="1"/>
  <c r="D10" s="1"/>
  <c r="D11" s="1"/>
  <c r="D13"/>
  <c r="D14" s="1"/>
  <c r="D15" s="1"/>
  <c r="D16" s="1"/>
  <c r="D17" s="1"/>
  <c r="D18" s="1"/>
  <c r="D19" s="1"/>
  <c r="H25" i="3" l="1"/>
  <c r="P33"/>
  <c r="L8" l="1"/>
  <c r="N23" i="2" l="1"/>
  <c r="X23"/>
  <c r="X21"/>
  <c r="X24"/>
  <c r="X25"/>
  <c r="X26"/>
  <c r="X27"/>
  <c r="H20"/>
  <c r="X22" l="1"/>
  <c r="I9"/>
  <c r="I10" s="1"/>
  <c r="I11" s="1"/>
  <c r="I12" s="1"/>
  <c r="I13" s="1"/>
  <c r="I14" s="1"/>
  <c r="I15" s="1"/>
  <c r="I16" s="1"/>
  <c r="I17" s="1"/>
  <c r="I18" s="1"/>
  <c r="I19" s="1"/>
  <c r="N22" i="3" l="1"/>
  <c r="N26"/>
  <c r="N28"/>
  <c r="N27"/>
  <c r="N25"/>
  <c r="N24"/>
  <c r="N23"/>
  <c r="N21"/>
  <c r="H8" i="2"/>
  <c r="N24"/>
  <c r="N25"/>
  <c r="N26"/>
  <c r="N27"/>
  <c r="P59" i="3" l="1"/>
  <c r="P40"/>
  <c r="P39"/>
  <c r="P38"/>
  <c r="P37"/>
  <c r="P36"/>
  <c r="P43"/>
  <c r="P41"/>
  <c r="P17"/>
  <c r="W9" i="2"/>
  <c r="W10" s="1"/>
  <c r="W11" s="1"/>
  <c r="W12" s="1"/>
  <c r="W13" s="1"/>
  <c r="W14" s="1"/>
  <c r="W15" s="1"/>
  <c r="W16" s="1"/>
  <c r="J10"/>
  <c r="H9" l="1"/>
  <c r="N62" i="3"/>
  <c r="Y26" i="2"/>
  <c r="Y27"/>
  <c r="Y24"/>
  <c r="Y25"/>
  <c r="W28"/>
  <c r="S28"/>
  <c r="K9"/>
  <c r="K10" s="1"/>
  <c r="K11" s="1"/>
  <c r="K12" s="1"/>
  <c r="K13" s="1"/>
  <c r="K14" s="1"/>
  <c r="K15" s="1"/>
  <c r="K16" s="1"/>
  <c r="K17" s="1"/>
  <c r="K18" s="1"/>
  <c r="K19" s="1"/>
  <c r="K28" l="1"/>
  <c r="U9"/>
  <c r="T9"/>
  <c r="Y22" l="1"/>
  <c r="X8"/>
  <c r="P9" l="1"/>
  <c r="U10"/>
  <c r="T10"/>
  <c r="R9"/>
  <c r="Q9"/>
  <c r="L7" i="3"/>
  <c r="H28"/>
  <c r="H24"/>
  <c r="H23"/>
  <c r="J14"/>
  <c r="L12"/>
  <c r="D14" s="1"/>
  <c r="P5"/>
  <c r="A1"/>
  <c r="J11" i="2"/>
  <c r="J12" s="1"/>
  <c r="J13" s="1"/>
  <c r="J14" s="1"/>
  <c r="J15" s="1"/>
  <c r="J16" s="1"/>
  <c r="J17" s="1"/>
  <c r="J18" s="1"/>
  <c r="J19" s="1"/>
  <c r="J9"/>
  <c r="M9"/>
  <c r="L9"/>
  <c r="G9"/>
  <c r="F9"/>
  <c r="E9"/>
  <c r="E10"/>
  <c r="E11"/>
  <c r="E12"/>
  <c r="E13"/>
  <c r="E14"/>
  <c r="E15"/>
  <c r="E16"/>
  <c r="E17"/>
  <c r="E18"/>
  <c r="E19"/>
  <c r="J28" l="1"/>
  <c r="G10"/>
  <c r="G11" s="1"/>
  <c r="G12" s="1"/>
  <c r="G13" s="1"/>
  <c r="G14" s="1"/>
  <c r="G15" s="1"/>
  <c r="G16" s="1"/>
  <c r="G17" s="1"/>
  <c r="G18" s="1"/>
  <c r="G19" s="1"/>
  <c r="Q10"/>
  <c r="Q11" s="1"/>
  <c r="Q12" s="1"/>
  <c r="Q13" s="1"/>
  <c r="Q14" s="1"/>
  <c r="Q15" s="1"/>
  <c r="Q16" s="1"/>
  <c r="Q17" s="1"/>
  <c r="Q18" s="1"/>
  <c r="P10"/>
  <c r="P11" s="1"/>
  <c r="P12" s="1"/>
  <c r="P13" s="1"/>
  <c r="P14" s="1"/>
  <c r="P15" s="1"/>
  <c r="P16" s="1"/>
  <c r="P17" s="1"/>
  <c r="P18" s="1"/>
  <c r="P19" s="1"/>
  <c r="E28"/>
  <c r="F10"/>
  <c r="F11" s="1"/>
  <c r="F12" s="1"/>
  <c r="F13" s="1"/>
  <c r="F14" s="1"/>
  <c r="F15" s="1"/>
  <c r="F16" s="1"/>
  <c r="F17" s="1"/>
  <c r="F18" s="1"/>
  <c r="F19" s="1"/>
  <c r="L10"/>
  <c r="L11" s="1"/>
  <c r="L12" s="1"/>
  <c r="L13" s="1"/>
  <c r="L14" s="1"/>
  <c r="L15" s="1"/>
  <c r="L16" s="1"/>
  <c r="L17" s="1"/>
  <c r="L18" s="1"/>
  <c r="L19" s="1"/>
  <c r="R10"/>
  <c r="R11" s="1"/>
  <c r="R12" s="1"/>
  <c r="R13" s="1"/>
  <c r="R14" s="1"/>
  <c r="R15" s="1"/>
  <c r="R16" s="1"/>
  <c r="R17" s="1"/>
  <c r="R18" s="1"/>
  <c r="R19" s="1"/>
  <c r="P44" i="3"/>
  <c r="Y23" i="2"/>
  <c r="U11"/>
  <c r="U12" s="1"/>
  <c r="U13" s="1"/>
  <c r="U14" s="1"/>
  <c r="U15" s="1"/>
  <c r="U16" s="1"/>
  <c r="U17" s="1"/>
  <c r="U18" s="1"/>
  <c r="U19" s="1"/>
  <c r="T11"/>
  <c r="T12" s="1"/>
  <c r="T13" s="1"/>
  <c r="T14" s="1"/>
  <c r="T15" s="1"/>
  <c r="T16" s="1"/>
  <c r="T17" s="1"/>
  <c r="T18" s="1"/>
  <c r="T19" s="1"/>
  <c r="N8"/>
  <c r="M10"/>
  <c r="M11" s="1"/>
  <c r="M12" s="1"/>
  <c r="M13" s="1"/>
  <c r="M14" s="1"/>
  <c r="M15" s="1"/>
  <c r="M16" s="1"/>
  <c r="M17" s="1"/>
  <c r="M18" s="1"/>
  <c r="M19" s="1"/>
  <c r="H10" l="1"/>
  <c r="V9"/>
  <c r="X9" s="1"/>
  <c r="L28"/>
  <c r="F28"/>
  <c r="Q28"/>
  <c r="L9" i="3" s="1"/>
  <c r="R28" i="2"/>
  <c r="T28"/>
  <c r="N9"/>
  <c r="U28"/>
  <c r="M28"/>
  <c r="P28"/>
  <c r="G28"/>
  <c r="H27" i="3" l="1"/>
  <c r="H22"/>
  <c r="G14"/>
  <c r="L14" s="1"/>
  <c r="P15" s="1"/>
  <c r="H11" i="2"/>
  <c r="V10"/>
  <c r="V11" s="1"/>
  <c r="Y9"/>
  <c r="N10"/>
  <c r="X10" l="1"/>
  <c r="Y10" s="1"/>
  <c r="V12"/>
  <c r="H12"/>
  <c r="N20"/>
  <c r="X11"/>
  <c r="N11"/>
  <c r="X20" l="1"/>
  <c r="V13"/>
  <c r="H13"/>
  <c r="N12"/>
  <c r="Y11"/>
  <c r="X12"/>
  <c r="V14" l="1"/>
  <c r="H14"/>
  <c r="N13"/>
  <c r="Y12"/>
  <c r="X13"/>
  <c r="V15" l="1"/>
  <c r="E62" i="3"/>
  <c r="H15" i="2"/>
  <c r="Y13"/>
  <c r="N14"/>
  <c r="X14"/>
  <c r="V16" l="1"/>
  <c r="H16"/>
  <c r="X16" s="1"/>
  <c r="N15"/>
  <c r="Y14"/>
  <c r="X15"/>
  <c r="Y8"/>
  <c r="V17" l="1"/>
  <c r="H17"/>
  <c r="Y15"/>
  <c r="N16"/>
  <c r="X17" l="1"/>
  <c r="V18"/>
  <c r="I62" i="3"/>
  <c r="H18" i="2"/>
  <c r="Y16"/>
  <c r="Y21"/>
  <c r="N17"/>
  <c r="X18" l="1"/>
  <c r="V19"/>
  <c r="K62" i="3"/>
  <c r="I28" i="2"/>
  <c r="F19" i="1" s="1"/>
  <c r="H19" i="2"/>
  <c r="X19" s="1"/>
  <c r="X28" s="1"/>
  <c r="Y17"/>
  <c r="N18"/>
  <c r="D28"/>
  <c r="V28" l="1"/>
  <c r="F8" i="1" s="1"/>
  <c r="L62" i="3"/>
  <c r="O62" s="1"/>
  <c r="H28" i="2"/>
  <c r="F4" i="1" s="1"/>
  <c r="Y18" i="2"/>
  <c r="N19" l="1"/>
  <c r="Y19" l="1"/>
  <c r="N28"/>
  <c r="F17" i="1" l="1"/>
  <c r="Y20" i="2" l="1"/>
  <c r="Y28" s="1"/>
  <c r="O28"/>
  <c r="H21" i="3" l="1"/>
  <c r="P4" i="5"/>
  <c r="P6" s="1"/>
  <c r="L10" s="1"/>
  <c r="P11" s="1"/>
  <c r="P16" s="1"/>
  <c r="P18" s="1"/>
  <c r="P32" i="3"/>
  <c r="P32" i="5"/>
  <c r="P34" s="1"/>
  <c r="P45" s="1"/>
  <c r="P4" i="3"/>
  <c r="P6" s="1"/>
  <c r="N30" i="5" l="1"/>
  <c r="P46"/>
  <c r="P47" s="1"/>
  <c r="N30" i="3"/>
  <c r="P31" s="1"/>
  <c r="P34" s="1"/>
  <c r="P45" s="1"/>
  <c r="L10"/>
  <c r="P10" s="1"/>
  <c r="P11" s="1"/>
  <c r="P16" s="1"/>
  <c r="P18" s="1"/>
  <c r="P58" i="5" l="1"/>
  <c r="F12" i="1"/>
  <c r="A20"/>
  <c r="D20"/>
  <c r="P46" i="3"/>
  <c r="P47" s="1"/>
  <c r="P51" s="1"/>
  <c r="P57" i="5" l="1"/>
  <c r="P59" s="1"/>
  <c r="P60" s="1"/>
  <c r="P61" s="1"/>
  <c r="P63" s="1"/>
  <c r="A66" s="1"/>
  <c r="F6" i="1"/>
  <c r="P53" i="3"/>
  <c r="P52"/>
  <c r="P66" i="5" l="1"/>
  <c r="P54" i="3"/>
  <c r="P55" s="1"/>
  <c r="P56" l="1"/>
  <c r="P57" s="1"/>
  <c r="P58" l="1"/>
  <c r="P60" l="1"/>
  <c r="A63" l="1"/>
  <c r="A19" i="1" s="1"/>
  <c r="P63" i="3"/>
  <c r="D19" i="1" s="1"/>
</calcChain>
</file>

<file path=xl/sharedStrings.xml><?xml version="1.0" encoding="utf-8"?>
<sst xmlns="http://schemas.openxmlformats.org/spreadsheetml/2006/main" count="424" uniqueCount="198">
  <si>
    <t>PS Aarampura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</si>
  <si>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</si>
  <si>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</si>
  <si>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</si>
  <si>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</si>
  <si>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</si>
  <si>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</si>
  <si>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</si>
  <si>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</si>
  <si>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</si>
  <si>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</si>
  <si>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</si>
  <si>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</si>
  <si>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</si>
  <si>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</si>
  <si>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</si>
  <si>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</si>
  <si>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</si>
  <si>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 xml:space="preserve">                                                              'ks"k ¼2&amp;3½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</si>
  <si>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</si>
  <si>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</si>
  <si>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</si>
  <si>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</si>
  <si>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</si>
  <si>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</si>
  <si>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</si>
  <si>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Bonus</t>
  </si>
  <si>
    <t>Fixation Arrear</t>
  </si>
  <si>
    <t>Income Tax / TDS</t>
  </si>
  <si>
    <t>Leave  Pay</t>
  </si>
  <si>
    <t xml:space="preserve">Other 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</si>
  <si>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</si>
  <si>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</si>
  <si>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</si>
  <si>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</si>
  <si>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</si>
  <si>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</si>
  <si>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No</t>
  </si>
  <si>
    <t>Other Allowance 2</t>
  </si>
  <si>
    <t>HRA</t>
  </si>
  <si>
    <t>Salary Arrear 1</t>
  </si>
  <si>
    <t>Salary Arrear 2</t>
  </si>
  <si>
    <t>Salary Arrear 3</t>
  </si>
  <si>
    <t>BASIC+D.A.</t>
  </si>
  <si>
    <t>Bill No. &amp; T.V. No.</t>
  </si>
  <si>
    <t>DA Arrear</t>
  </si>
  <si>
    <t>Yes</t>
  </si>
  <si>
    <t>Total</t>
  </si>
  <si>
    <t>Designation</t>
  </si>
  <si>
    <t>C.C.A.</t>
  </si>
  <si>
    <t>RECEIPTS</t>
  </si>
  <si>
    <t>DEDUCTIONS</t>
  </si>
  <si>
    <t>GIS</t>
  </si>
  <si>
    <t>Handicap Allow</t>
  </si>
  <si>
    <t>Other Deduction</t>
  </si>
  <si>
    <t>Net Cash Payment</t>
  </si>
  <si>
    <t>LIC - Life Insurance</t>
  </si>
  <si>
    <t>NSC - National Savings Certificate</t>
  </si>
  <si>
    <t>Group Insurance</t>
  </si>
  <si>
    <t>ULIP / Annual Plan</t>
  </si>
  <si>
    <t>Contribution to Pension Plan (80CCC)</t>
  </si>
  <si>
    <t>Rs</t>
  </si>
  <si>
    <t>Interest paid on National Savings Certificate</t>
  </si>
  <si>
    <t>Tution Fees</t>
  </si>
  <si>
    <t>Equity Linked Savings Scheme</t>
  </si>
  <si>
    <t>Defferred Annuty</t>
  </si>
  <si>
    <t>PLI</t>
  </si>
  <si>
    <t>Other Deductions - (80C)</t>
  </si>
  <si>
    <t>Sukanya Samriddhi Yojana</t>
  </si>
  <si>
    <t>PPF -Public Provident Fund</t>
  </si>
  <si>
    <t>NSS -National Savings Scheme</t>
  </si>
  <si>
    <t>Maximum Deduction Amount Up to Rs 1.50 lakh</t>
  </si>
  <si>
    <t xml:space="preserve">Total (1 To 18)  </t>
  </si>
  <si>
    <t>Name</t>
  </si>
  <si>
    <t>Total Income from Salary With NPS</t>
  </si>
  <si>
    <t>House Rent, Under Section 10(13-A) and other Allowances Under Section 10(14) which are Exempt from tax.</t>
  </si>
  <si>
    <t xml:space="preserve">                                                           Remanent (4-5)</t>
  </si>
  <si>
    <t>(A) Income from House Property: (1) In Own Use - Nil</t>
  </si>
  <si>
    <t>(2) Rent Received is Rs.</t>
  </si>
  <si>
    <r>
      <t xml:space="preserve">Rent of </t>
    </r>
    <r>
      <rPr>
        <sz val="10"/>
        <rFont val="Calibri"/>
        <family val="2"/>
        <scheme val="minor"/>
      </rPr>
      <t>30%</t>
    </r>
  </si>
  <si>
    <t>(B) Subtract</t>
  </si>
  <si>
    <t>Interest of House Loan</t>
  </si>
  <si>
    <r>
      <rPr>
        <sz val="12"/>
        <rFont val="Calibri"/>
        <family val="2"/>
        <scheme val="minor"/>
      </rPr>
      <t>(i)   Entertainment Allowance 16(II) (Maximum limit Rs.5000)</t>
    </r>
    <r>
      <rPr>
        <sz val="12"/>
        <rFont val="DevLys 010"/>
      </rPr>
      <t xml:space="preserve">  </t>
    </r>
  </si>
  <si>
    <t>(ii)  Expenditure tax under section 16(III)</t>
  </si>
  <si>
    <t>House Tax</t>
  </si>
  <si>
    <t>Remainder -/+ (sum of 7(A) and 7(B)</t>
  </si>
  <si>
    <t>Total Balance -/+ (6 &amp; 7)</t>
  </si>
  <si>
    <t>Other Income</t>
  </si>
  <si>
    <t>Gross Income (8+9)</t>
  </si>
  <si>
    <t>Deduct Deduction Under Section US  - 80C, 80CCC,80CCD (1)</t>
  </si>
  <si>
    <t>Other Deductions</t>
  </si>
  <si>
    <t>1. Section 80D Medical Insurance Premium (Rs. 25000 for Self, Spouse and Children, Rs. 25000 for Parents, Rs. 50000 for Senior Citizen)</t>
  </si>
  <si>
    <t>Grand Total (1 to 8)</t>
  </si>
  <si>
    <r>
      <t xml:space="preserve">Total Deductions </t>
    </r>
    <r>
      <rPr>
        <b/>
        <sz val="10"/>
        <rFont val="Calibri"/>
        <family val="2"/>
        <scheme val="minor"/>
      </rPr>
      <t>( 11 + 12)</t>
    </r>
  </si>
  <si>
    <t>Taxable Income (10-13)</t>
  </si>
  <si>
    <r>
      <t xml:space="preserve">Rounding off the Amount of total Income (in Multiples of Ten) Section </t>
    </r>
    <r>
      <rPr>
        <b/>
        <sz val="11"/>
        <rFont val="Calibri"/>
        <family val="2"/>
        <scheme val="minor"/>
      </rPr>
      <t>288A</t>
    </r>
  </si>
  <si>
    <t>Calculation of income tax on the basis of column 15 above</t>
  </si>
  <si>
    <t>Senior Citizen (60 to 80 years)</t>
  </si>
  <si>
    <t>One Person Tax Payer</t>
  </si>
  <si>
    <t>80 years of age or Older</t>
  </si>
  <si>
    <t>Up to 2,50,000</t>
  </si>
  <si>
    <t>Up to 5,00,000</t>
  </si>
  <si>
    <t>Up to 3,00,000</t>
  </si>
  <si>
    <t xml:space="preserve">More Than 10,00,000 </t>
  </si>
  <si>
    <t>More Than 10,00,000</t>
  </si>
  <si>
    <t xml:space="preserve">(1) Total Incometax </t>
  </si>
  <si>
    <t>(2) Exemption section 87(I) (exemption of income tax on taxable income of Rs.2.50 lakh to Rs.5.00 lakh subject to a maximum of Rs.12500)</t>
  </si>
  <si>
    <t>(3) Balance Income Tax</t>
  </si>
  <si>
    <t>(4) Education cess 2% and surcharge for higher education 2% (Total 4%)</t>
  </si>
  <si>
    <t xml:space="preserve">                                                Total Incometax  (3+4)</t>
  </si>
  <si>
    <t>Subtract:- Relief under section 89</t>
  </si>
  <si>
    <t>Total Balance Income Tax</t>
  </si>
  <si>
    <t xml:space="preserve"> Details of Income Tax Deductions
</t>
  </si>
  <si>
    <t>Up to September 2022</t>
  </si>
  <si>
    <t>Up to December 2022</t>
  </si>
  <si>
    <t>Up to January 2023</t>
  </si>
  <si>
    <t>Up to February 2023</t>
  </si>
  <si>
    <t xml:space="preserve">T.D.S </t>
  </si>
  <si>
    <t>Total Tax Deduction</t>
  </si>
  <si>
    <t>Income Tax Computation Year 2022-2023 (Assessment Year 2023-2024)</t>
  </si>
  <si>
    <t xml:space="preserve">Signature of Employee </t>
  </si>
  <si>
    <t>1. House Rent</t>
  </si>
  <si>
    <t>7. Interest of House Loan</t>
  </si>
  <si>
    <t>5. House Tax</t>
  </si>
  <si>
    <t>4. Income from House Property</t>
  </si>
  <si>
    <t>8. LIC - Life Insurance (Other Than Salary)</t>
  </si>
  <si>
    <t>9. PLI</t>
  </si>
  <si>
    <t>11. ULIP / Annual Plan</t>
  </si>
  <si>
    <t>GPF -Public provident fund</t>
  </si>
  <si>
    <t>12. NSC - National Savings Certificate</t>
  </si>
  <si>
    <t>13. Interest of NSC</t>
  </si>
  <si>
    <t>14. PPF -Public Provident Fund</t>
  </si>
  <si>
    <t>15. NSS -National Savings Scheme</t>
  </si>
  <si>
    <t>16. Sukanya Samriddhi Yojana</t>
  </si>
  <si>
    <t>17. 80TTA/80TTB Maximum Interest on Savings Account</t>
  </si>
  <si>
    <t>10. Tution Fees</t>
  </si>
  <si>
    <t>18. Income Of Other Source (Bank FD, Interest etc)</t>
  </si>
  <si>
    <t>NPS (New Pension Scheme)</t>
  </si>
  <si>
    <t>21. 80CCD(1B) Additional Contribution in NPS - (Max. 50000)</t>
  </si>
  <si>
    <r>
      <rPr>
        <b/>
        <sz val="10"/>
        <rFont val="Calibri"/>
        <family val="2"/>
        <scheme val="minor"/>
      </rPr>
      <t xml:space="preserve">(A) - Maximum limit 1,50,000 </t>
    </r>
    <r>
      <rPr>
        <b/>
        <sz val="12"/>
        <rFont val="Calibri"/>
        <family val="2"/>
        <scheme val="minor"/>
      </rPr>
      <t>&amp; Under Section (</t>
    </r>
    <r>
      <rPr>
        <b/>
        <sz val="10"/>
        <rFont val="Calibri"/>
        <family val="2"/>
        <scheme val="minor"/>
      </rPr>
      <t>80CCE)</t>
    </r>
    <r>
      <rPr>
        <b/>
        <sz val="12"/>
        <rFont val="Calibri"/>
        <family val="2"/>
        <scheme val="minor"/>
      </rPr>
      <t xml:space="preserve"> Except</t>
    </r>
  </si>
  <si>
    <t>(B) Less - Section 80CCD(2) The Amount of Pension Contribution by the Employer (10% of the Maximum Salary) Separately exempted</t>
  </si>
  <si>
    <t>(C) Less - Section 80CCD (1B) Additional Contribution to New Pension Scheme (Maximum Rs.50,000)</t>
  </si>
  <si>
    <t xml:space="preserve">Total (A+B+C)     </t>
  </si>
  <si>
    <t>22. 80D Medical Insurance Premium</t>
  </si>
  <si>
    <t>23. 80DD Medical treatment of dependents with disabilities</t>
  </si>
  <si>
    <t>24. 80DDB Deduction for treatment of specific diseases</t>
  </si>
  <si>
    <t>25. 80E Interest on loan taken for higher education</t>
  </si>
  <si>
    <t>26. 80G Donations given to charitable institutions etc.</t>
  </si>
  <si>
    <t>27. 80U In case of permanent physical disability</t>
  </si>
  <si>
    <t>28. 80GGA Donations given for approved scientific, social, rural development etc.</t>
  </si>
  <si>
    <t>29. Equity Linked Savings Scheme</t>
  </si>
  <si>
    <t>30. Defferred Annuty</t>
  </si>
  <si>
    <t>31. Relief under section 89</t>
  </si>
  <si>
    <t>32. TDS - Income tax deposited in addition to salary bill</t>
  </si>
  <si>
    <t>Details of Deductions, Income/Deposits and Exemptions Other Than Salary</t>
  </si>
  <si>
    <t xml:space="preserve">2. Entertainment Allowance </t>
  </si>
  <si>
    <t>Receipt Required for House Rent Exemption</t>
  </si>
  <si>
    <t>8. Section 80GGA Donations given for Approved Scientific, Social, Rural Development etc.</t>
  </si>
  <si>
    <t>7. Section 80TTA Maximum Interest on Savings Account is Rs. 10,000 194(IA) 80 TTB Senior Citizen (Maximum Interest Rs.50000)</t>
  </si>
  <si>
    <t>6. Section 80U In case of Permanent Physical Disability (maximum 75,000 and 125,000 as per the 1995 Act)</t>
  </si>
  <si>
    <t>5. Section 80G Donations given to Charitable Institutions etc. (100 percent in A category and 50 percent in B category)</t>
  </si>
  <si>
    <t>4. Section 80E Interest on Loan taken for Higher Education</t>
  </si>
  <si>
    <t>3. Section 80DDB Deduction for Treatment of Specific Diseases (Maximum Rs.40,000, Rs.100,000 for Senior Citizen)</t>
  </si>
  <si>
    <t>2. Section 80DD Medical Treatment of dependents with Disabilities (maximum 75,000 and 80% or more disability 125,000)</t>
  </si>
  <si>
    <t>20. (80CCC) Contribution to Pension Plan - Other Than NPS</t>
  </si>
  <si>
    <t xml:space="preserve">19. 80C - Other Deductions In Under Section </t>
  </si>
  <si>
    <t>3. Expenditure tax under section 16(III)</t>
  </si>
  <si>
    <t>CREATED BY : PARMANAND MEGHWAL SENIOR TEACHER  (9784379510) , BARAN RAJASTHAN.</t>
  </si>
  <si>
    <t>DOWNLOD TAX SOFTWARE  -  RAJTEACHERS.NET</t>
  </si>
  <si>
    <t>6. Home Loan Principal Amount</t>
  </si>
  <si>
    <t>HBA Premium -Home Loan Principal Amount</t>
  </si>
  <si>
    <t>OFFICE OF THE PRINCIPAL GOVT. HIGHER SECONDARY SCHOOL, GANGIWARA,  CHHINDWARA M.P.</t>
  </si>
  <si>
    <t>ANNUAL PAY DETAILS FOR FY 2022-23</t>
  </si>
  <si>
    <t>Name Of Employee</t>
  </si>
  <si>
    <t>DDO Code</t>
  </si>
  <si>
    <t>DDO Name</t>
  </si>
  <si>
    <t>PAN</t>
  </si>
  <si>
    <t>TAN</t>
  </si>
  <si>
    <t>Treasury Code</t>
  </si>
  <si>
    <t>Portal ID</t>
  </si>
  <si>
    <t>Professional Tax</t>
  </si>
  <si>
    <t xml:space="preserve">(iv) Standard Deduction (Maximum limit Rs.50000)  </t>
  </si>
  <si>
    <t>(iii) Professional Tax under section 10</t>
  </si>
  <si>
    <t>Recovery</t>
  </si>
  <si>
    <t>Senior Citizen</t>
  </si>
  <si>
    <t>Employee of The "NPS" Yes Or No</t>
  </si>
  <si>
    <t xml:space="preserve">Basic Pay March 2022 </t>
  </si>
  <si>
    <t>RAJTEACHERS.NET</t>
  </si>
  <si>
    <t>SENIOR TEACHER</t>
  </si>
  <si>
    <t>Block Education Officer, Chhindwara</t>
  </si>
  <si>
    <t>AAAAAAA</t>
  </si>
  <si>
    <t xml:space="preserve">                                                           Remanent (2-3)</t>
  </si>
  <si>
    <t>PARMANAND MEGHWAL</t>
  </si>
  <si>
    <t>5,00,001-7,50,0,000</t>
  </si>
  <si>
    <t>7,50,001-10,00,000</t>
  </si>
  <si>
    <t>10,00,001-12,50,000</t>
  </si>
  <si>
    <t>12,50,001-15,00,000</t>
  </si>
  <si>
    <t xml:space="preserve">More Than 15,00,000 </t>
  </si>
</sst>
</file>

<file path=xl/styles.xml><?xml version="1.0" encoding="utf-8"?>
<styleSheet xmlns="http://schemas.openxmlformats.org/spreadsheetml/2006/main">
  <fonts count="72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b/>
      <sz val="14"/>
      <name val="Times New Roman"/>
      <family val="1"/>
    </font>
    <font>
      <i/>
      <sz val="10"/>
      <name val="Calibri"/>
      <family val="2"/>
      <scheme val="minor"/>
    </font>
    <font>
      <sz val="10"/>
      <name val="Cambria"/>
      <family val="1"/>
      <scheme val="major"/>
    </font>
    <font>
      <sz val="10"/>
      <name val="Ccca"/>
    </font>
    <font>
      <i/>
      <sz val="10"/>
      <name val="Ccca"/>
    </font>
    <font>
      <b/>
      <sz val="14"/>
      <name val="Calibri"/>
      <family val="2"/>
      <scheme val="minor"/>
    </font>
    <font>
      <b/>
      <sz val="12"/>
      <name val="Cambria"/>
      <family val="1"/>
      <scheme val="maj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u/>
      <sz val="2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u/>
      <sz val="16"/>
      <color rgb="FFC00000"/>
      <name val="Times New Roman"/>
      <family val="1"/>
    </font>
    <font>
      <b/>
      <u/>
      <sz val="16"/>
      <color rgb="FF0000FF"/>
      <name val="Times New Roman"/>
      <family val="1"/>
    </font>
    <font>
      <b/>
      <sz val="24"/>
      <name val="Arial"/>
      <family val="2"/>
    </font>
    <font>
      <b/>
      <sz val="16"/>
      <color theme="0"/>
      <name val="Arial"/>
      <family val="2"/>
    </font>
    <font>
      <b/>
      <sz val="18"/>
      <color rgb="FFFF0000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6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5" fillId="0" borderId="0"/>
    <xf numFmtId="0" fontId="5" fillId="0" borderId="0"/>
    <xf numFmtId="0" fontId="7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291">
    <xf numFmtId="0" fontId="0" fillId="0" borderId="0" xfId="0"/>
    <xf numFmtId="2" fontId="1" fillId="0" borderId="0" xfId="0" applyNumberFormat="1" applyFont="1" applyBorder="1" applyAlignment="1"/>
    <xf numFmtId="2" fontId="6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4" fillId="0" borderId="10" xfId="37" applyFont="1" applyBorder="1" applyAlignment="1">
      <alignment horizontal="right" vertical="center"/>
    </xf>
    <xf numFmtId="0" fontId="25" fillId="0" borderId="0" xfId="37" applyFont="1"/>
    <xf numFmtId="0" fontId="1" fillId="0" borderId="0" xfId="37" applyFont="1"/>
    <xf numFmtId="0" fontId="24" fillId="0" borderId="0" xfId="37" applyFont="1" applyAlignment="1">
      <alignment horizontal="right"/>
    </xf>
    <xf numFmtId="0" fontId="25" fillId="0" borderId="0" xfId="37" applyFont="1" applyAlignment="1">
      <alignment horizontal="right"/>
    </xf>
    <xf numFmtId="0" fontId="0" fillId="0" borderId="0" xfId="0" applyAlignment="1">
      <alignment vertical="center"/>
    </xf>
    <xf numFmtId="2" fontId="33" fillId="0" borderId="10" xfId="37" applyNumberFormat="1" applyFont="1" applyBorder="1" applyAlignment="1">
      <alignment horizontal="center" vertical="center"/>
    </xf>
    <xf numFmtId="0" fontId="34" fillId="0" borderId="0" xfId="0" applyNumberFormat="1" applyFont="1" applyFill="1" applyBorder="1" applyAlignment="1">
      <alignment horizontal="center" textRotation="90" wrapText="1"/>
    </xf>
    <xf numFmtId="0" fontId="31" fillId="0" borderId="0" xfId="0" applyNumberFormat="1" applyFont="1" applyFill="1" applyBorder="1" applyAlignment="1">
      <alignment vertical="center"/>
    </xf>
    <xf numFmtId="0" fontId="34" fillId="0" borderId="0" xfId="0" applyNumberFormat="1" applyFont="1" applyFill="1" applyBorder="1" applyAlignment="1">
      <alignment horizontal="center" vertical="center" textRotation="90"/>
    </xf>
    <xf numFmtId="0" fontId="30" fillId="0" borderId="10" xfId="37" applyFont="1" applyBorder="1" applyAlignment="1">
      <alignment horizontal="center" vertical="center"/>
    </xf>
    <xf numFmtId="0" fontId="26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2" fontId="29" fillId="0" borderId="21" xfId="37" applyNumberFormat="1" applyFont="1" applyBorder="1" applyAlignment="1">
      <alignment horizontal="right" vertical="center"/>
    </xf>
    <xf numFmtId="2" fontId="30" fillId="0" borderId="21" xfId="37" applyNumberFormat="1" applyFont="1" applyBorder="1" applyAlignment="1">
      <alignment horizontal="right" vertical="center"/>
    </xf>
    <xf numFmtId="2" fontId="32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0" fillId="0" borderId="21" xfId="37" applyNumberFormat="1" applyFont="1" applyBorder="1" applyAlignment="1">
      <alignment vertical="center"/>
    </xf>
    <xf numFmtId="2" fontId="30" fillId="0" borderId="29" xfId="37" applyNumberFormat="1" applyFont="1" applyBorder="1" applyAlignment="1">
      <alignment horizontal="right" vertical="center"/>
    </xf>
    <xf numFmtId="0" fontId="31" fillId="0" borderId="32" xfId="37" applyFont="1" applyBorder="1" applyAlignment="1">
      <alignment horizontal="right" vertical="center"/>
    </xf>
    <xf numFmtId="2" fontId="30" fillId="0" borderId="0" xfId="37" applyNumberFormat="1" applyFont="1" applyBorder="1" applyAlignment="1">
      <alignment horizontal="right" vertical="center"/>
    </xf>
    <xf numFmtId="0" fontId="31" fillId="0" borderId="10" xfId="0" applyNumberFormat="1" applyFont="1" applyBorder="1" applyAlignment="1" applyProtection="1">
      <alignment horizontal="center" vertical="center"/>
      <protection locked="0" hidden="1"/>
    </xf>
    <xf numFmtId="0" fontId="34" fillId="0" borderId="10" xfId="0" applyNumberFormat="1" applyFont="1" applyBorder="1" applyAlignment="1" applyProtection="1">
      <alignment horizontal="center" vertical="center"/>
      <protection hidden="1"/>
    </xf>
    <xf numFmtId="2" fontId="31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6" fillId="24" borderId="0" xfId="0" applyNumberFormat="1" applyFont="1" applyFill="1" applyBorder="1" applyAlignment="1">
      <alignment horizontal="left" indent="2"/>
    </xf>
    <xf numFmtId="0" fontId="26" fillId="26" borderId="0" xfId="0" applyNumberFormat="1" applyFont="1" applyFill="1" applyBorder="1" applyAlignment="1">
      <alignment vertical="top"/>
    </xf>
    <xf numFmtId="0" fontId="34" fillId="26" borderId="0" xfId="0" applyNumberFormat="1" applyFont="1" applyFill="1" applyBorder="1" applyAlignment="1">
      <alignment horizontal="center" textRotation="90" wrapText="1"/>
    </xf>
    <xf numFmtId="0" fontId="31" fillId="26" borderId="0" xfId="0" applyNumberFormat="1" applyFont="1" applyFill="1" applyBorder="1" applyAlignment="1">
      <alignment vertical="center"/>
    </xf>
    <xf numFmtId="0" fontId="34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1" fontId="30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2" fontId="6" fillId="24" borderId="17" xfId="0" applyNumberFormat="1" applyFont="1" applyFill="1" applyBorder="1" applyAlignment="1">
      <alignment horizontal="left"/>
    </xf>
    <xf numFmtId="2" fontId="6" fillId="24" borderId="17" xfId="0" applyNumberFormat="1" applyFont="1" applyFill="1" applyBorder="1" applyAlignment="1">
      <alignment horizontal="left" indent="2"/>
    </xf>
    <xf numFmtId="2" fontId="45" fillId="31" borderId="17" xfId="0" applyNumberFormat="1" applyFont="1" applyFill="1" applyBorder="1" applyAlignment="1">
      <alignment horizontal="center" vertical="center"/>
    </xf>
    <xf numFmtId="1" fontId="46" fillId="30" borderId="0" xfId="0" applyNumberFormat="1" applyFont="1" applyFill="1" applyBorder="1" applyAlignment="1">
      <alignment horizontal="center" vertical="center"/>
    </xf>
    <xf numFmtId="1" fontId="46" fillId="31" borderId="0" xfId="0" applyNumberFormat="1" applyFont="1" applyFill="1" applyBorder="1" applyAlignment="1">
      <alignment horizontal="center" vertical="center"/>
    </xf>
    <xf numFmtId="1" fontId="46" fillId="29" borderId="0" xfId="0" applyNumberFormat="1" applyFont="1" applyFill="1" applyBorder="1" applyAlignment="1">
      <alignment horizontal="center" vertical="center"/>
    </xf>
    <xf numFmtId="2" fontId="46" fillId="29" borderId="0" xfId="0" applyNumberFormat="1" applyFont="1" applyFill="1" applyBorder="1" applyAlignment="1">
      <alignment horizontal="center" vertical="center"/>
    </xf>
    <xf numFmtId="2" fontId="29" fillId="29" borderId="0" xfId="0" applyNumberFormat="1" applyFont="1" applyFill="1" applyBorder="1" applyAlignment="1" applyProtection="1">
      <alignment horizontal="center"/>
      <protection locked="0"/>
    </xf>
    <xf numFmtId="2" fontId="29" fillId="29" borderId="0" xfId="0" applyNumberFormat="1" applyFont="1" applyFill="1" applyBorder="1" applyAlignment="1" applyProtection="1">
      <alignment horizontal="left"/>
    </xf>
    <xf numFmtId="2" fontId="29" fillId="33" borderId="0" xfId="0" applyNumberFormat="1" applyFont="1" applyFill="1" applyBorder="1" applyAlignment="1" applyProtection="1">
      <alignment horizontal="center" vertical="center"/>
      <protection locked="0"/>
    </xf>
    <xf numFmtId="2" fontId="29" fillId="33" borderId="0" xfId="0" applyNumberFormat="1" applyFont="1" applyFill="1" applyBorder="1" applyAlignment="1" applyProtection="1">
      <alignment horizontal="left"/>
    </xf>
    <xf numFmtId="2" fontId="29" fillId="33" borderId="0" xfId="0" applyNumberFormat="1" applyFont="1" applyFill="1" applyBorder="1" applyAlignment="1" applyProtection="1">
      <alignment horizontal="center"/>
      <protection locked="0"/>
    </xf>
    <xf numFmtId="2" fontId="47" fillId="34" borderId="17" xfId="0" applyNumberFormat="1" applyFont="1" applyFill="1" applyBorder="1" applyAlignment="1">
      <alignment horizontal="center"/>
    </xf>
    <xf numFmtId="17" fontId="36" fillId="0" borderId="22" xfId="0" applyNumberFormat="1" applyFont="1" applyBorder="1" applyAlignment="1">
      <alignment horizontal="center" vertical="center"/>
    </xf>
    <xf numFmtId="0" fontId="31" fillId="0" borderId="21" xfId="0" applyNumberFormat="1" applyFont="1" applyBorder="1" applyAlignment="1" applyProtection="1">
      <alignment horizontal="center" vertical="center"/>
      <protection locked="0" hidden="1"/>
    </xf>
    <xf numFmtId="17" fontId="31" fillId="0" borderId="22" xfId="0" applyNumberFormat="1" applyFont="1" applyBorder="1" applyAlignment="1" applyProtection="1">
      <alignment horizontal="center" vertical="center"/>
      <protection locked="0"/>
    </xf>
    <xf numFmtId="17" fontId="31" fillId="0" borderId="22" xfId="0" applyNumberFormat="1" applyFont="1" applyFill="1" applyBorder="1" applyAlignment="1" applyProtection="1">
      <alignment horizontal="center" vertical="center"/>
    </xf>
    <xf numFmtId="17" fontId="31" fillId="0" borderId="22" xfId="0" applyNumberFormat="1" applyFont="1" applyFill="1" applyBorder="1" applyAlignment="1" applyProtection="1">
      <alignment horizontal="center" vertical="center"/>
      <protection locked="0"/>
    </xf>
    <xf numFmtId="0" fontId="34" fillId="0" borderId="27" xfId="0" applyNumberFormat="1" applyFont="1" applyBorder="1" applyAlignment="1">
      <alignment horizontal="center" vertical="center" textRotation="90"/>
    </xf>
    <xf numFmtId="0" fontId="41" fillId="0" borderId="28" xfId="0" applyNumberFormat="1" applyFont="1" applyBorder="1" applyAlignment="1" applyProtection="1">
      <alignment horizontal="center" vertical="center" textRotation="90"/>
      <protection hidden="1"/>
    </xf>
    <xf numFmtId="2" fontId="41" fillId="0" borderId="28" xfId="0" applyNumberFormat="1" applyFont="1" applyBorder="1" applyAlignment="1" applyProtection="1">
      <alignment horizontal="center" vertical="center" textRotation="90"/>
      <protection hidden="1"/>
    </xf>
    <xf numFmtId="0" fontId="34" fillId="0" borderId="29" xfId="0" applyNumberFormat="1" applyFont="1" applyBorder="1" applyAlignment="1" applyProtection="1">
      <alignment horizontal="center" vertical="center" textRotation="90"/>
      <protection hidden="1"/>
    </xf>
    <xf numFmtId="0" fontId="31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43" fillId="0" borderId="10" xfId="37" applyFont="1" applyBorder="1" applyAlignment="1">
      <alignment horizontal="center" vertical="top" wrapText="1"/>
    </xf>
    <xf numFmtId="0" fontId="31" fillId="0" borderId="10" xfId="37" applyFont="1" applyBorder="1" applyAlignment="1">
      <alignment horizontal="left" vertical="top" wrapText="1"/>
    </xf>
    <xf numFmtId="2" fontId="52" fillId="0" borderId="10" xfId="37" applyNumberFormat="1" applyFont="1" applyBorder="1" applyAlignment="1">
      <alignment horizontal="center" vertical="top" wrapText="1"/>
    </xf>
    <xf numFmtId="2" fontId="52" fillId="25" borderId="10" xfId="37" applyNumberFormat="1" applyFont="1" applyFill="1" applyBorder="1" applyAlignment="1">
      <alignment horizontal="center" vertical="top" wrapText="1"/>
    </xf>
    <xf numFmtId="0" fontId="54" fillId="0" borderId="10" xfId="37" applyFont="1" applyBorder="1" applyAlignment="1">
      <alignment horizontal="center" vertical="top" wrapText="1"/>
    </xf>
    <xf numFmtId="0" fontId="54" fillId="0" borderId="10" xfId="37" applyFont="1" applyBorder="1" applyAlignment="1">
      <alignment horizontal="left" vertical="top" wrapText="1"/>
    </xf>
    <xf numFmtId="2" fontId="55" fillId="0" borderId="10" xfId="37" applyNumberFormat="1" applyFont="1" applyBorder="1" applyAlignment="1">
      <alignment horizontal="center" vertical="top" wrapText="1"/>
    </xf>
    <xf numFmtId="0" fontId="36" fillId="0" borderId="32" xfId="37" applyFont="1" applyBorder="1" applyAlignment="1">
      <alignment horizontal="left" vertical="center"/>
    </xf>
    <xf numFmtId="9" fontId="31" fillId="0" borderId="10" xfId="37" applyNumberFormat="1" applyFont="1" applyBorder="1" applyAlignment="1">
      <alignment horizontal="center" vertical="center"/>
    </xf>
    <xf numFmtId="0" fontId="31" fillId="0" borderId="10" xfId="37" applyFont="1" applyBorder="1" applyAlignment="1">
      <alignment horizontal="center" vertical="center"/>
    </xf>
    <xf numFmtId="0" fontId="54" fillId="0" borderId="10" xfId="37" applyFont="1" applyBorder="1" applyAlignment="1">
      <alignment horizontal="left" vertical="top" wrapText="1"/>
    </xf>
    <xf numFmtId="0" fontId="29" fillId="0" borderId="10" xfId="37" applyFont="1" applyBorder="1" applyAlignment="1">
      <alignment horizontal="center" vertical="center" wrapText="1"/>
    </xf>
    <xf numFmtId="0" fontId="30" fillId="0" borderId="30" xfId="37" applyFont="1" applyBorder="1" applyAlignment="1">
      <alignment horizontal="center" vertical="center"/>
    </xf>
    <xf numFmtId="0" fontId="30" fillId="0" borderId="22" xfId="37" applyFont="1" applyBorder="1" applyAlignment="1">
      <alignment horizontal="center" vertical="center"/>
    </xf>
    <xf numFmtId="0" fontId="59" fillId="0" borderId="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30" fillId="0" borderId="0" xfId="37" applyFont="1" applyBorder="1"/>
    <xf numFmtId="0" fontId="31" fillId="0" borderId="0" xfId="37" applyFont="1" applyBorder="1"/>
    <xf numFmtId="0" fontId="31" fillId="0" borderId="0" xfId="37" applyFont="1" applyBorder="1" applyAlignment="1">
      <alignment horizontal="right"/>
    </xf>
    <xf numFmtId="0" fontId="30" fillId="0" borderId="0" xfId="37" applyFont="1" applyFill="1" applyBorder="1"/>
    <xf numFmtId="0" fontId="30" fillId="0" borderId="0" xfId="37" applyFont="1" applyFill="1"/>
    <xf numFmtId="0" fontId="31" fillId="0" borderId="0" xfId="37" applyFont="1" applyFill="1" applyBorder="1"/>
    <xf numFmtId="0" fontId="31" fillId="0" borderId="0" xfId="37" applyFont="1" applyFill="1"/>
    <xf numFmtId="0" fontId="30" fillId="26" borderId="0" xfId="37" applyFont="1" applyFill="1"/>
    <xf numFmtId="0" fontId="31" fillId="26" borderId="0" xfId="37" applyFont="1" applyFill="1"/>
    <xf numFmtId="0" fontId="34" fillId="26" borderId="0" xfId="37" applyFont="1" applyFill="1" applyAlignment="1">
      <alignment horizontal="right"/>
    </xf>
    <xf numFmtId="0" fontId="31" fillId="26" borderId="0" xfId="37" applyFont="1" applyFill="1" applyAlignment="1">
      <alignment horizontal="right"/>
    </xf>
    <xf numFmtId="0" fontId="30" fillId="0" borderId="0" xfId="37" applyFont="1"/>
    <xf numFmtId="0" fontId="31" fillId="0" borderId="0" xfId="37" applyFont="1"/>
    <xf numFmtId="0" fontId="34" fillId="0" borderId="0" xfId="37" applyFont="1" applyAlignment="1">
      <alignment horizontal="right"/>
    </xf>
    <xf numFmtId="0" fontId="31" fillId="0" borderId="0" xfId="37" applyFont="1" applyAlignment="1">
      <alignment horizontal="right"/>
    </xf>
    <xf numFmtId="2" fontId="30" fillId="29" borderId="0" xfId="0" applyNumberFormat="1" applyFont="1" applyFill="1" applyBorder="1" applyAlignment="1">
      <alignment horizontal="left" indent="1"/>
    </xf>
    <xf numFmtId="2" fontId="30" fillId="33" borderId="0" xfId="0" applyNumberFormat="1" applyFont="1" applyFill="1" applyBorder="1" applyAlignment="1">
      <alignment horizontal="left" vertical="center" wrapText="1" indent="1"/>
    </xf>
    <xf numFmtId="2" fontId="30" fillId="33" borderId="0" xfId="0" applyNumberFormat="1" applyFont="1" applyFill="1" applyBorder="1" applyAlignment="1">
      <alignment horizontal="left" vertical="center" indent="1"/>
    </xf>
    <xf numFmtId="2" fontId="30" fillId="33" borderId="0" xfId="0" applyNumberFormat="1" applyFont="1" applyFill="1" applyBorder="1" applyAlignment="1">
      <alignment horizontal="left" indent="1"/>
    </xf>
    <xf numFmtId="2" fontId="30" fillId="29" borderId="0" xfId="0" applyNumberFormat="1" applyFont="1" applyFill="1" applyBorder="1" applyAlignment="1" applyProtection="1">
      <alignment horizontal="left" vertical="center" wrapText="1" indent="1"/>
    </xf>
    <xf numFmtId="0" fontId="30" fillId="0" borderId="24" xfId="37" applyFont="1" applyBorder="1" applyAlignment="1">
      <alignment horizontal="center" vertical="top"/>
    </xf>
    <xf numFmtId="2" fontId="31" fillId="33" borderId="0" xfId="0" applyNumberFormat="1" applyFont="1" applyFill="1" applyBorder="1" applyAlignment="1">
      <alignment horizontal="left" indent="1"/>
    </xf>
    <xf numFmtId="0" fontId="3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1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31" fillId="0" borderId="10" xfId="0" applyNumberFormat="1" applyFont="1" applyFill="1" applyBorder="1" applyAlignment="1" applyProtection="1">
      <alignment vertical="center"/>
      <protection locked="0"/>
    </xf>
    <xf numFmtId="0" fontId="37" fillId="0" borderId="22" xfId="0" applyNumberFormat="1" applyFont="1" applyFill="1" applyBorder="1" applyAlignment="1" applyProtection="1">
      <alignment horizontal="center" vertical="center" wrapText="1"/>
      <protection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0" fillId="0" borderId="24" xfId="37" applyFont="1" applyBorder="1" applyAlignment="1">
      <alignment horizontal="center" vertical="top"/>
    </xf>
    <xf numFmtId="0" fontId="54" fillId="0" borderId="10" xfId="37" applyFont="1" applyBorder="1" applyAlignment="1">
      <alignment horizontal="left" vertical="top" wrapText="1"/>
    </xf>
    <xf numFmtId="0" fontId="31" fillId="0" borderId="10" xfId="37" applyFont="1" applyBorder="1" applyAlignment="1">
      <alignment horizontal="left" vertical="top" wrapText="1"/>
    </xf>
    <xf numFmtId="0" fontId="30" fillId="0" borderId="10" xfId="37" applyFont="1" applyBorder="1" applyAlignment="1">
      <alignment horizontal="center" vertical="center"/>
    </xf>
    <xf numFmtId="1" fontId="31" fillId="0" borderId="10" xfId="0" applyNumberFormat="1" applyFont="1" applyBorder="1" applyAlignment="1" applyProtection="1">
      <alignment horizontal="center" vertical="center"/>
      <protection locked="0" hidden="1"/>
    </xf>
    <xf numFmtId="0" fontId="69" fillId="0" borderId="10" xfId="0" applyNumberFormat="1" applyFont="1" applyFill="1" applyBorder="1" applyAlignment="1">
      <alignment horizontal="center" vertical="center"/>
    </xf>
    <xf numFmtId="0" fontId="6" fillId="39" borderId="0" xfId="0" applyNumberFormat="1" applyFont="1" applyFill="1" applyBorder="1" applyAlignment="1" applyProtection="1">
      <alignment vertical="center"/>
      <protection locked="0"/>
    </xf>
    <xf numFmtId="1" fontId="6" fillId="39" borderId="0" xfId="0" applyNumberFormat="1" applyFont="1" applyFill="1" applyBorder="1" applyAlignment="1" applyProtection="1">
      <alignment vertical="center"/>
      <protection locked="0"/>
    </xf>
    <xf numFmtId="0" fontId="69" fillId="0" borderId="14" xfId="0" applyNumberFormat="1" applyFont="1" applyFill="1" applyBorder="1" applyAlignment="1">
      <alignment horizontal="center" vertical="center"/>
    </xf>
    <xf numFmtId="0" fontId="49" fillId="28" borderId="39" xfId="0" applyNumberFormat="1" applyFont="1" applyFill="1" applyBorder="1" applyAlignment="1" applyProtection="1">
      <alignment vertical="center" wrapText="1"/>
      <protection locked="0" hidden="1"/>
    </xf>
    <xf numFmtId="0" fontId="6" fillId="39" borderId="36" xfId="0" applyNumberFormat="1" applyFont="1" applyFill="1" applyBorder="1" applyAlignment="1" applyProtection="1">
      <alignment vertical="center"/>
      <protection locked="0"/>
    </xf>
    <xf numFmtId="1" fontId="6" fillId="39" borderId="36" xfId="0" applyNumberFormat="1" applyFont="1" applyFill="1" applyBorder="1" applyAlignment="1" applyProtection="1">
      <alignment vertical="center"/>
      <protection locked="0"/>
    </xf>
    <xf numFmtId="0" fontId="4" fillId="0" borderId="44" xfId="0" applyNumberFormat="1" applyFont="1" applyBorder="1" applyAlignment="1">
      <alignment vertical="top" textRotation="90"/>
    </xf>
    <xf numFmtId="0" fontId="4" fillId="0" borderId="36" xfId="0" applyNumberFormat="1" applyFont="1" applyBorder="1" applyAlignment="1">
      <alignment vertical="top" textRotation="90"/>
    </xf>
    <xf numFmtId="0" fontId="5" fillId="0" borderId="44" xfId="0" applyNumberFormat="1" applyFont="1" applyBorder="1" applyAlignment="1">
      <alignment vertical="top"/>
    </xf>
    <xf numFmtId="0" fontId="5" fillId="0" borderId="36" xfId="0" applyNumberFormat="1" applyFont="1" applyBorder="1" applyAlignment="1">
      <alignment vertical="top"/>
    </xf>
    <xf numFmtId="0" fontId="5" fillId="0" borderId="44" xfId="0" applyNumberFormat="1" applyFont="1" applyFill="1" applyBorder="1" applyAlignment="1">
      <alignment vertical="top"/>
    </xf>
    <xf numFmtId="0" fontId="5" fillId="0" borderId="36" xfId="0" applyNumberFormat="1" applyFont="1" applyFill="1" applyBorder="1" applyAlignment="1">
      <alignment vertical="top"/>
    </xf>
    <xf numFmtId="9" fontId="31" fillId="0" borderId="10" xfId="37" applyNumberFormat="1" applyFont="1" applyBorder="1" applyAlignment="1">
      <alignment horizontal="center" vertical="center"/>
    </xf>
    <xf numFmtId="0" fontId="31" fillId="0" borderId="10" xfId="37" applyFont="1" applyBorder="1" applyAlignment="1">
      <alignment horizontal="center" vertical="center"/>
    </xf>
    <xf numFmtId="0" fontId="54" fillId="0" borderId="10" xfId="37" applyFont="1" applyBorder="1" applyAlignment="1">
      <alignment horizontal="left" vertical="top" wrapText="1"/>
    </xf>
    <xf numFmtId="0" fontId="70" fillId="38" borderId="39" xfId="0" applyFont="1" applyFill="1" applyBorder="1" applyAlignment="1" applyProtection="1">
      <alignment horizontal="center" vertical="center" wrapText="1"/>
      <protection hidden="1"/>
    </xf>
    <xf numFmtId="0" fontId="6" fillId="39" borderId="0" xfId="0" applyNumberFormat="1" applyFont="1" applyFill="1" applyBorder="1" applyAlignment="1" applyProtection="1">
      <alignment horizontal="center" vertical="center"/>
      <protection locked="0"/>
    </xf>
    <xf numFmtId="0" fontId="49" fillId="28" borderId="39" xfId="0" applyNumberFormat="1" applyFont="1" applyFill="1" applyBorder="1" applyAlignment="1" applyProtection="1">
      <alignment horizontal="left" vertical="center" wrapText="1"/>
      <protection hidden="1"/>
    </xf>
    <xf numFmtId="0" fontId="71" fillId="28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66" fillId="28" borderId="39" xfId="0" applyNumberFormat="1" applyFont="1" applyFill="1" applyBorder="1" applyAlignment="1" applyProtection="1">
      <alignment horizontal="center" vertical="center" wrapText="1"/>
      <protection hidden="1"/>
    </xf>
    <xf numFmtId="0" fontId="68" fillId="0" borderId="23" xfId="0" applyNumberFormat="1" applyFont="1" applyBorder="1" applyAlignment="1" applyProtection="1">
      <alignment horizontal="center" vertical="center" wrapText="1"/>
    </xf>
    <xf numFmtId="0" fontId="68" fillId="0" borderId="39" xfId="0" applyNumberFormat="1" applyFont="1" applyBorder="1" applyAlignment="1" applyProtection="1">
      <alignment horizontal="center" vertical="center" wrapText="1"/>
    </xf>
    <xf numFmtId="0" fontId="68" fillId="0" borderId="43" xfId="0" applyNumberFormat="1" applyFont="1" applyBorder="1" applyAlignment="1" applyProtection="1">
      <alignment horizontal="center" vertical="center" wrapText="1"/>
    </xf>
    <xf numFmtId="0" fontId="6" fillId="39" borderId="44" xfId="0" applyNumberFormat="1" applyFont="1" applyFill="1" applyBorder="1" applyAlignment="1">
      <alignment horizontal="left" vertical="center"/>
    </xf>
    <xf numFmtId="0" fontId="6" fillId="39" borderId="0" xfId="0" applyNumberFormat="1" applyFont="1" applyFill="1" applyBorder="1" applyAlignment="1">
      <alignment horizontal="left" vertical="center"/>
    </xf>
    <xf numFmtId="0" fontId="6" fillId="39" borderId="0" xfId="0" applyNumberFormat="1" applyFont="1" applyFill="1" applyBorder="1" applyAlignment="1">
      <alignment horizontal="center" vertical="center"/>
    </xf>
    <xf numFmtId="1" fontId="6" fillId="39" borderId="0" xfId="0" applyNumberFormat="1" applyFont="1" applyFill="1" applyBorder="1" applyAlignment="1" applyProtection="1">
      <alignment horizontal="center" vertical="center"/>
      <protection locked="0"/>
    </xf>
    <xf numFmtId="0" fontId="49" fillId="28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42" fillId="0" borderId="45" xfId="0" applyNumberFormat="1" applyFont="1" applyFill="1" applyBorder="1" applyAlignment="1">
      <alignment horizontal="center" vertical="top"/>
    </xf>
    <xf numFmtId="0" fontId="42" fillId="0" borderId="42" xfId="0" applyNumberFormat="1" applyFont="1" applyFill="1" applyBorder="1" applyAlignment="1">
      <alignment horizontal="center" vertical="top"/>
    </xf>
    <xf numFmtId="0" fontId="42" fillId="0" borderId="46" xfId="0" applyNumberFormat="1" applyFont="1" applyFill="1" applyBorder="1" applyAlignment="1">
      <alignment horizontal="center" vertical="top"/>
    </xf>
    <xf numFmtId="0" fontId="67" fillId="0" borderId="40" xfId="0" applyNumberFormat="1" applyFont="1" applyBorder="1" applyAlignment="1" applyProtection="1">
      <alignment horizontal="center" vertical="center" wrapText="1"/>
      <protection locked="0"/>
    </xf>
    <xf numFmtId="0" fontId="67" fillId="0" borderId="41" xfId="0" applyNumberFormat="1" applyFont="1" applyBorder="1" applyAlignment="1" applyProtection="1">
      <alignment horizontal="center" vertical="center"/>
      <protection locked="0"/>
    </xf>
    <xf numFmtId="0" fontId="67" fillId="0" borderId="34" xfId="0" applyNumberFormat="1" applyFont="1" applyBorder="1" applyAlignment="1" applyProtection="1">
      <alignment horizontal="center" vertical="center"/>
      <protection locked="0"/>
    </xf>
    <xf numFmtId="0" fontId="51" fillId="35" borderId="22" xfId="0" applyNumberFormat="1" applyFont="1" applyFill="1" applyBorder="1" applyAlignment="1" applyProtection="1">
      <alignment horizontal="center" vertical="center"/>
      <protection hidden="1"/>
    </xf>
    <xf numFmtId="0" fontId="51" fillId="35" borderId="10" xfId="0" applyNumberFormat="1" applyFont="1" applyFill="1" applyBorder="1" applyAlignment="1" applyProtection="1">
      <alignment horizontal="center" vertical="center"/>
      <protection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7" fillId="0" borderId="21" xfId="0" applyNumberFormat="1" applyFont="1" applyFill="1" applyBorder="1" applyAlignment="1" applyProtection="1">
      <alignment horizontal="center" vertical="center" wrapText="1"/>
      <protection hidden="1"/>
    </xf>
    <xf numFmtId="2" fontId="63" fillId="37" borderId="0" xfId="0" applyNumberFormat="1" applyFont="1" applyFill="1" applyBorder="1" applyAlignment="1">
      <alignment horizontal="center" vertical="center"/>
    </xf>
    <xf numFmtId="2" fontId="65" fillId="28" borderId="0" xfId="44" applyNumberFormat="1" applyFont="1" applyFill="1" applyBorder="1" applyAlignment="1" applyProtection="1">
      <alignment horizontal="center" vertical="center" wrapText="1"/>
    </xf>
    <xf numFmtId="2" fontId="64" fillId="28" borderId="0" xfId="0" applyNumberFormat="1" applyFont="1" applyFill="1" applyBorder="1" applyAlignment="1">
      <alignment horizontal="center" vertical="center"/>
    </xf>
    <xf numFmtId="2" fontId="61" fillId="32" borderId="0" xfId="0" applyNumberFormat="1" applyFont="1" applyFill="1" applyBorder="1" applyAlignment="1">
      <alignment horizontal="center" vertical="center"/>
    </xf>
    <xf numFmtId="2" fontId="44" fillId="27" borderId="11" xfId="0" applyNumberFormat="1" applyFont="1" applyFill="1" applyBorder="1" applyAlignment="1">
      <alignment horizontal="center" vertical="center"/>
    </xf>
    <xf numFmtId="1" fontId="50" fillId="31" borderId="0" xfId="0" applyNumberFormat="1" applyFont="1" applyFill="1" applyBorder="1" applyAlignment="1">
      <alignment horizontal="center" vertical="center" wrapText="1"/>
    </xf>
    <xf numFmtId="1" fontId="62" fillId="30" borderId="0" xfId="0" applyNumberFormat="1" applyFont="1" applyFill="1" applyBorder="1" applyAlignment="1">
      <alignment horizontal="center" vertical="center" wrapText="1"/>
    </xf>
    <xf numFmtId="2" fontId="6" fillId="24" borderId="0" xfId="0" applyNumberFormat="1" applyFont="1" applyFill="1" applyBorder="1" applyAlignment="1">
      <alignment horizontal="right" indent="1"/>
    </xf>
    <xf numFmtId="2" fontId="6" fillId="24" borderId="17" xfId="0" applyNumberFormat="1" applyFont="1" applyFill="1" applyBorder="1" applyAlignment="1">
      <alignment horizontal="right" indent="1"/>
    </xf>
    <xf numFmtId="2" fontId="47" fillId="30" borderId="0" xfId="0" applyNumberFormat="1" applyFont="1" applyFill="1" applyBorder="1" applyAlignment="1">
      <alignment horizontal="center" vertical="center"/>
    </xf>
    <xf numFmtId="0" fontId="35" fillId="0" borderId="0" xfId="37" applyFont="1" applyFill="1" applyBorder="1" applyAlignment="1">
      <alignment horizontal="center" vertical="center" wrapText="1"/>
    </xf>
    <xf numFmtId="2" fontId="29" fillId="0" borderId="12" xfId="0" applyNumberFormat="1" applyFont="1" applyBorder="1" applyAlignment="1">
      <alignment horizontal="left" vertical="center"/>
    </xf>
    <xf numFmtId="2" fontId="29" fillId="0" borderId="13" xfId="0" applyNumberFormat="1" applyFont="1" applyBorder="1" applyAlignment="1">
      <alignment horizontal="left" vertical="center"/>
    </xf>
    <xf numFmtId="2" fontId="29" fillId="0" borderId="14" xfId="0" applyNumberFormat="1" applyFont="1" applyBorder="1" applyAlignment="1">
      <alignment horizontal="left" vertical="center"/>
    </xf>
    <xf numFmtId="2" fontId="29" fillId="0" borderId="10" xfId="0" applyNumberFormat="1" applyFont="1" applyBorder="1" applyAlignment="1">
      <alignment horizontal="left" vertical="center"/>
    </xf>
    <xf numFmtId="2" fontId="29" fillId="0" borderId="12" xfId="0" applyNumberFormat="1" applyFont="1" applyBorder="1" applyAlignment="1">
      <alignment horizontal="right" vertical="center"/>
    </xf>
    <xf numFmtId="2" fontId="29" fillId="0" borderId="13" xfId="0" applyNumberFormat="1" applyFont="1" applyBorder="1" applyAlignment="1">
      <alignment horizontal="right" vertical="center"/>
    </xf>
    <xf numFmtId="2" fontId="29" fillId="0" borderId="14" xfId="0" applyNumberFormat="1" applyFont="1" applyBorder="1" applyAlignment="1">
      <alignment horizontal="right" vertical="center"/>
    </xf>
    <xf numFmtId="0" fontId="30" fillId="0" borderId="23" xfId="37" applyFont="1" applyBorder="1" applyAlignment="1">
      <alignment horizontal="center" vertical="top"/>
    </xf>
    <xf numFmtId="0" fontId="30" fillId="0" borderId="24" xfId="37" applyFont="1" applyBorder="1" applyAlignment="1">
      <alignment horizontal="center" vertical="top"/>
    </xf>
    <xf numFmtId="0" fontId="30" fillId="0" borderId="25" xfId="37" applyFont="1" applyBorder="1" applyAlignment="1">
      <alignment horizontal="center" vertical="top"/>
    </xf>
    <xf numFmtId="0" fontId="30" fillId="0" borderId="10" xfId="37" applyFont="1" applyBorder="1" applyAlignment="1">
      <alignment horizontal="left" vertical="center"/>
    </xf>
    <xf numFmtId="0" fontId="30" fillId="0" borderId="21" xfId="37" applyFont="1" applyBorder="1" applyAlignment="1">
      <alignment horizontal="left" vertical="center"/>
    </xf>
    <xf numFmtId="0" fontId="34" fillId="0" borderId="10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31" fillId="0" borderId="12" xfId="37" applyFont="1" applyBorder="1" applyAlignment="1">
      <alignment horizontal="center" vertical="center"/>
    </xf>
    <xf numFmtId="0" fontId="31" fillId="0" borderId="13" xfId="37" applyFont="1" applyBorder="1" applyAlignment="1">
      <alignment horizontal="center" vertical="center"/>
    </xf>
    <xf numFmtId="0" fontId="31" fillId="0" borderId="14" xfId="37" applyFont="1" applyBorder="1" applyAlignment="1">
      <alignment horizontal="center" vertical="center"/>
    </xf>
    <xf numFmtId="9" fontId="31" fillId="0" borderId="10" xfId="37" applyNumberFormat="1" applyFont="1" applyBorder="1" applyAlignment="1">
      <alignment horizontal="center" vertical="center"/>
    </xf>
    <xf numFmtId="0" fontId="31" fillId="0" borderId="10" xfId="37" applyFont="1" applyBorder="1" applyAlignment="1">
      <alignment horizontal="center" vertical="center"/>
    </xf>
    <xf numFmtId="0" fontId="60" fillId="0" borderId="0" xfId="37" applyFont="1" applyFill="1" applyAlignment="1">
      <alignment horizontal="center" vertical="top" wrapText="1"/>
    </xf>
    <xf numFmtId="0" fontId="29" fillId="0" borderId="12" xfId="37" applyFont="1" applyBorder="1" applyAlignment="1">
      <alignment horizontal="center" vertical="center" wrapText="1"/>
    </xf>
    <xf numFmtId="0" fontId="29" fillId="0" borderId="26" xfId="37" applyFont="1" applyBorder="1" applyAlignment="1">
      <alignment horizontal="center" vertical="center" wrapText="1"/>
    </xf>
    <xf numFmtId="0" fontId="30" fillId="0" borderId="10" xfId="37" applyFont="1" applyBorder="1" applyAlignment="1">
      <alignment horizontal="center" vertical="center" wrapText="1"/>
    </xf>
    <xf numFmtId="2" fontId="30" fillId="0" borderId="12" xfId="37" applyNumberFormat="1" applyFont="1" applyBorder="1" applyAlignment="1">
      <alignment horizontal="right" vertical="center" wrapText="1"/>
    </xf>
    <xf numFmtId="2" fontId="30" fillId="0" borderId="26" xfId="37" applyNumberFormat="1" applyFont="1" applyBorder="1" applyAlignment="1">
      <alignment horizontal="right" vertical="center" wrapText="1"/>
    </xf>
    <xf numFmtId="0" fontId="27" fillId="0" borderId="27" xfId="37" applyFont="1" applyBorder="1" applyAlignment="1">
      <alignment horizontal="right" vertical="center"/>
    </xf>
    <xf numFmtId="0" fontId="27" fillId="0" borderId="28" xfId="37" applyFont="1" applyBorder="1" applyAlignment="1">
      <alignment horizontal="right" vertical="center"/>
    </xf>
    <xf numFmtId="0" fontId="30" fillId="0" borderId="12" xfId="37" applyFont="1" applyBorder="1" applyAlignment="1">
      <alignment horizontal="left" vertical="center"/>
    </xf>
    <xf numFmtId="0" fontId="30" fillId="0" borderId="13" xfId="37" applyFont="1" applyBorder="1" applyAlignment="1">
      <alignment horizontal="left" vertical="center"/>
    </xf>
    <xf numFmtId="0" fontId="30" fillId="0" borderId="14" xfId="37" applyFont="1" applyBorder="1" applyAlignment="1">
      <alignment horizontal="left" vertical="center"/>
    </xf>
    <xf numFmtId="0" fontId="29" fillId="0" borderId="10" xfId="37" applyFont="1" applyBorder="1" applyAlignment="1">
      <alignment horizontal="left" vertical="center"/>
    </xf>
    <xf numFmtId="0" fontId="57" fillId="0" borderId="10" xfId="37" applyFont="1" applyBorder="1" applyAlignment="1">
      <alignment horizontal="center" vertical="center" wrapText="1"/>
    </xf>
    <xf numFmtId="0" fontId="29" fillId="0" borderId="14" xfId="37" applyFont="1" applyBorder="1" applyAlignment="1">
      <alignment horizontal="center" vertical="center" wrapText="1"/>
    </xf>
    <xf numFmtId="0" fontId="29" fillId="0" borderId="18" xfId="37" applyFont="1" applyBorder="1" applyAlignment="1">
      <alignment horizontal="center" wrapText="1"/>
    </xf>
    <xf numFmtId="0" fontId="29" fillId="0" borderId="17" xfId="37" applyFont="1" applyBorder="1" applyAlignment="1">
      <alignment horizontal="center" wrapText="1"/>
    </xf>
    <xf numFmtId="0" fontId="29" fillId="0" borderId="19" xfId="37" applyFont="1" applyBorder="1" applyAlignment="1">
      <alignment horizontal="center" wrapText="1"/>
    </xf>
    <xf numFmtId="0" fontId="29" fillId="0" borderId="16" xfId="37" applyFont="1" applyBorder="1" applyAlignment="1">
      <alignment horizontal="center" wrapText="1"/>
    </xf>
    <xf numFmtId="0" fontId="29" fillId="0" borderId="11" xfId="37" applyFont="1" applyBorder="1" applyAlignment="1">
      <alignment horizontal="center" wrapText="1"/>
    </xf>
    <xf numFmtId="0" fontId="29" fillId="0" borderId="20" xfId="37" applyFont="1" applyBorder="1" applyAlignment="1">
      <alignment horizontal="center" wrapText="1"/>
    </xf>
    <xf numFmtId="0" fontId="54" fillId="0" borderId="10" xfId="37" applyFont="1" applyBorder="1" applyAlignment="1">
      <alignment horizontal="left" vertical="top" wrapText="1"/>
    </xf>
    <xf numFmtId="0" fontId="30" fillId="0" borderId="10" xfId="37" applyFont="1" applyBorder="1" applyAlignment="1">
      <alignment horizontal="right" vertical="center"/>
    </xf>
    <xf numFmtId="0" fontId="31" fillId="0" borderId="12" xfId="37" applyFont="1" applyFill="1" applyBorder="1" applyAlignment="1">
      <alignment horizontal="left" vertical="top" wrapText="1"/>
    </xf>
    <xf numFmtId="0" fontId="31" fillId="0" borderId="13" xfId="37" applyFont="1" applyFill="1" applyBorder="1" applyAlignment="1">
      <alignment horizontal="left" vertical="top" wrapText="1"/>
    </xf>
    <xf numFmtId="0" fontId="31" fillId="0" borderId="14" xfId="37" applyFont="1" applyFill="1" applyBorder="1" applyAlignment="1">
      <alignment horizontal="left" vertical="top" wrapText="1"/>
    </xf>
    <xf numFmtId="0" fontId="34" fillId="0" borderId="10" xfId="37" applyFont="1" applyBorder="1" applyAlignment="1">
      <alignment horizontal="left" vertical="center"/>
    </xf>
    <xf numFmtId="0" fontId="34" fillId="0" borderId="21" xfId="37" applyFont="1" applyBorder="1" applyAlignment="1">
      <alignment horizontal="left" vertical="center"/>
    </xf>
    <xf numFmtId="0" fontId="31" fillId="0" borderId="12" xfId="37" applyFont="1" applyBorder="1" applyAlignment="1">
      <alignment horizontal="left" vertical="top" wrapText="1"/>
    </xf>
    <xf numFmtId="0" fontId="31" fillId="0" borderId="13" xfId="37" applyFont="1" applyBorder="1" applyAlignment="1">
      <alignment horizontal="left" vertical="top" wrapText="1"/>
    </xf>
    <xf numFmtId="0" fontId="31" fillId="0" borderId="14" xfId="37" applyFont="1" applyBorder="1" applyAlignment="1">
      <alignment horizontal="left" vertical="top" wrapText="1"/>
    </xf>
    <xf numFmtId="0" fontId="31" fillId="0" borderId="10" xfId="37" applyFont="1" applyBorder="1" applyAlignment="1">
      <alignment horizontal="left" vertical="center" wrapText="1"/>
    </xf>
    <xf numFmtId="0" fontId="31" fillId="0" borderId="12" xfId="37" applyFont="1" applyBorder="1" applyAlignment="1">
      <alignment horizontal="left" vertical="center" wrapText="1"/>
    </xf>
    <xf numFmtId="0" fontId="31" fillId="0" borderId="13" xfId="37" applyFont="1" applyBorder="1" applyAlignment="1">
      <alignment horizontal="left" vertical="center" wrapText="1"/>
    </xf>
    <xf numFmtId="0" fontId="31" fillId="0" borderId="14" xfId="37" applyFont="1" applyBorder="1" applyAlignment="1">
      <alignment horizontal="left" vertical="center" wrapText="1"/>
    </xf>
    <xf numFmtId="0" fontId="1" fillId="0" borderId="18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1" fillId="0" borderId="35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31" fillId="0" borderId="10" xfId="37" applyFont="1" applyBorder="1" applyAlignment="1">
      <alignment horizontal="left" vertical="top" wrapText="1"/>
    </xf>
    <xf numFmtId="0" fontId="25" fillId="0" borderId="10" xfId="37" applyFont="1" applyBorder="1" applyAlignment="1">
      <alignment horizontal="left" vertical="top" wrapText="1"/>
    </xf>
    <xf numFmtId="0" fontId="53" fillId="0" borderId="12" xfId="37" applyFont="1" applyFill="1" applyBorder="1" applyAlignment="1">
      <alignment horizontal="left" vertical="top" wrapText="1"/>
    </xf>
    <xf numFmtId="0" fontId="53" fillId="0" borderId="13" xfId="37" applyFont="1" applyFill="1" applyBorder="1" applyAlignment="1">
      <alignment horizontal="left" vertical="top" wrapText="1"/>
    </xf>
    <xf numFmtId="0" fontId="53" fillId="0" borderId="14" xfId="37" applyFont="1" applyFill="1" applyBorder="1" applyAlignment="1">
      <alignment horizontal="left" vertical="top" wrapText="1"/>
    </xf>
    <xf numFmtId="0" fontId="38" fillId="0" borderId="0" xfId="37" applyFont="1" applyAlignment="1">
      <alignment horizontal="center" vertical="center"/>
    </xf>
    <xf numFmtId="0" fontId="58" fillId="0" borderId="0" xfId="37" applyFont="1" applyBorder="1" applyAlignment="1">
      <alignment horizontal="center" vertical="center"/>
    </xf>
    <xf numFmtId="0" fontId="30" fillId="0" borderId="31" xfId="37" applyFont="1" applyBorder="1" applyAlignment="1">
      <alignment horizontal="left" vertical="center"/>
    </xf>
    <xf numFmtId="0" fontId="30" fillId="0" borderId="32" xfId="37" applyFont="1" applyBorder="1" applyAlignment="1">
      <alignment horizontal="left" vertical="center"/>
    </xf>
    <xf numFmtId="0" fontId="28" fillId="0" borderId="33" xfId="37" applyFont="1" applyFill="1" applyBorder="1" applyAlignment="1">
      <alignment horizontal="center" vertical="center"/>
    </xf>
    <xf numFmtId="0" fontId="28" fillId="0" borderId="34" xfId="37" applyFont="1" applyFill="1" applyBorder="1" applyAlignment="1">
      <alignment horizontal="center" vertical="center"/>
    </xf>
    <xf numFmtId="0" fontId="30" fillId="0" borderId="15" xfId="37" applyFont="1" applyBorder="1" applyAlignment="1">
      <alignment horizontal="left" vertical="center"/>
    </xf>
    <xf numFmtId="0" fontId="36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30" fillId="0" borderId="12" xfId="37" applyFont="1" applyBorder="1" applyAlignment="1">
      <alignment horizontal="right" vertical="center"/>
    </xf>
    <xf numFmtId="0" fontId="30" fillId="0" borderId="13" xfId="37" applyFont="1" applyBorder="1" applyAlignment="1">
      <alignment horizontal="right" vertical="center"/>
    </xf>
    <xf numFmtId="0" fontId="30" fillId="0" borderId="14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2" fontId="30" fillId="0" borderId="10" xfId="37" applyNumberFormat="1" applyFont="1" applyBorder="1" applyAlignment="1">
      <alignment horizontal="center" vertical="center"/>
    </xf>
    <xf numFmtId="0" fontId="26" fillId="0" borderId="12" xfId="37" applyFont="1" applyBorder="1" applyAlignment="1">
      <alignment horizontal="left" vertical="center"/>
    </xf>
    <xf numFmtId="0" fontId="34" fillId="0" borderId="32" xfId="38" applyFont="1" applyFill="1" applyBorder="1" applyAlignment="1">
      <alignment horizontal="left" vertical="center"/>
    </xf>
    <xf numFmtId="0" fontId="34" fillId="0" borderId="32" xfId="37" applyFont="1" applyFill="1" applyBorder="1" applyAlignment="1">
      <alignment horizontal="center" vertical="center"/>
    </xf>
    <xf numFmtId="2" fontId="30" fillId="0" borderId="12" xfId="37" applyNumberFormat="1" applyFont="1" applyBorder="1" applyAlignment="1">
      <alignment horizontal="center" vertical="center"/>
    </xf>
    <xf numFmtId="2" fontId="30" fillId="0" borderId="13" xfId="37" applyNumberFormat="1" applyFont="1" applyBorder="1" applyAlignment="1">
      <alignment horizontal="center" vertical="center"/>
    </xf>
    <xf numFmtId="2" fontId="30" fillId="0" borderId="14" xfId="37" applyNumberFormat="1" applyFont="1" applyBorder="1" applyAlignment="1">
      <alignment horizontal="center" vertical="center"/>
    </xf>
    <xf numFmtId="0" fontId="1" fillId="0" borderId="17" xfId="37" applyFont="1" applyBorder="1" applyAlignment="1">
      <alignment horizontal="center" vertical="center"/>
    </xf>
    <xf numFmtId="0" fontId="1" fillId="0" borderId="0" xfId="37" applyFont="1" applyBorder="1" applyAlignment="1">
      <alignment horizontal="center" vertical="center"/>
    </xf>
    <xf numFmtId="0" fontId="1" fillId="0" borderId="11" xfId="37" applyFont="1" applyBorder="1" applyAlignment="1">
      <alignment horizontal="center" vertical="center"/>
    </xf>
    <xf numFmtId="0" fontId="40" fillId="0" borderId="0" xfId="37" applyFont="1" applyFill="1" applyAlignment="1">
      <alignment horizontal="center"/>
    </xf>
    <xf numFmtId="0" fontId="25" fillId="0" borderId="10" xfId="37" applyFont="1" applyBorder="1" applyAlignment="1">
      <alignment horizontal="center" vertical="center"/>
    </xf>
    <xf numFmtId="0" fontId="25" fillId="0" borderId="21" xfId="37" applyFont="1" applyBorder="1" applyAlignment="1">
      <alignment horizontal="center" vertical="center"/>
    </xf>
    <xf numFmtId="0" fontId="36" fillId="0" borderId="12" xfId="37" applyFont="1" applyBorder="1" applyAlignment="1">
      <alignment horizontal="center" vertical="top" wrapText="1"/>
    </xf>
    <xf numFmtId="0" fontId="36" fillId="0" borderId="13" xfId="37" applyFont="1" applyBorder="1" applyAlignment="1">
      <alignment horizontal="center" vertical="top" wrapText="1"/>
    </xf>
    <xf numFmtId="0" fontId="36" fillId="0" borderId="14" xfId="37" applyFont="1" applyBorder="1" applyAlignment="1">
      <alignment horizontal="center" vertical="top" wrapText="1"/>
    </xf>
    <xf numFmtId="0" fontId="30" fillId="0" borderId="10" xfId="37" applyFont="1" applyBorder="1" applyAlignment="1">
      <alignment horizontal="center" vertical="center"/>
    </xf>
    <xf numFmtId="0" fontId="25" fillId="0" borderId="13" xfId="37" applyFont="1" applyBorder="1" applyAlignment="1">
      <alignment horizontal="left" vertical="top" wrapText="1"/>
    </xf>
    <xf numFmtId="0" fontId="25" fillId="0" borderId="14" xfId="37" applyFont="1" applyBorder="1" applyAlignment="1">
      <alignment horizontal="left" vertical="top" wrapText="1"/>
    </xf>
    <xf numFmtId="0" fontId="29" fillId="0" borderId="21" xfId="37" applyFont="1" applyBorder="1" applyAlignment="1">
      <alignment horizontal="left" vertical="center"/>
    </xf>
    <xf numFmtId="0" fontId="29" fillId="0" borderId="12" xfId="37" applyFont="1" applyBorder="1" applyAlignment="1">
      <alignment horizontal="right" vertical="center"/>
    </xf>
    <xf numFmtId="0" fontId="29" fillId="0" borderId="13" xfId="37" applyFont="1" applyBorder="1" applyAlignment="1">
      <alignment horizontal="right" vertical="center"/>
    </xf>
    <xf numFmtId="0" fontId="29" fillId="0" borderId="14" xfId="37" applyFont="1" applyBorder="1" applyAlignment="1">
      <alignment horizontal="right" vertical="center"/>
    </xf>
    <xf numFmtId="0" fontId="54" fillId="0" borderId="10" xfId="37" applyFont="1" applyFill="1" applyBorder="1" applyAlignment="1">
      <alignment horizontal="left" vertical="top" wrapText="1"/>
    </xf>
    <xf numFmtId="0" fontId="30" fillId="0" borderId="0" xfId="37" applyFont="1" applyBorder="1" applyAlignment="1">
      <alignment horizontal="center"/>
    </xf>
    <xf numFmtId="0" fontId="34" fillId="0" borderId="12" xfId="37" applyFont="1" applyBorder="1" applyAlignment="1">
      <alignment horizontal="left" vertical="center"/>
    </xf>
    <xf numFmtId="0" fontId="34" fillId="0" borderId="13" xfId="37" applyFont="1" applyBorder="1" applyAlignment="1">
      <alignment horizontal="left" vertical="center"/>
    </xf>
    <xf numFmtId="0" fontId="34" fillId="0" borderId="14" xfId="37" applyFont="1" applyBorder="1" applyAlignment="1">
      <alignment horizontal="left" vertical="center"/>
    </xf>
    <xf numFmtId="0" fontId="34" fillId="0" borderId="12" xfId="37" applyFont="1" applyBorder="1" applyAlignment="1">
      <alignment horizontal="left" vertical="center" wrapText="1"/>
    </xf>
    <xf numFmtId="0" fontId="34" fillId="0" borderId="13" xfId="37" applyFont="1" applyBorder="1" applyAlignment="1">
      <alignment horizontal="left" vertical="center" wrapText="1"/>
    </xf>
    <xf numFmtId="0" fontId="34" fillId="0" borderId="14" xfId="37" applyFont="1" applyBorder="1" applyAlignment="1">
      <alignment horizontal="left" vertical="center" wrapText="1"/>
    </xf>
    <xf numFmtId="0" fontId="56" fillId="0" borderId="12" xfId="37" applyFont="1" applyBorder="1" applyAlignment="1">
      <alignment horizontal="right" vertical="center"/>
    </xf>
    <xf numFmtId="0" fontId="56" fillId="0" borderId="13" xfId="37" applyFont="1" applyBorder="1" applyAlignment="1">
      <alignment horizontal="right" vertical="center"/>
    </xf>
    <xf numFmtId="0" fontId="56" fillId="0" borderId="14" xfId="37" applyFont="1" applyBorder="1" applyAlignment="1">
      <alignment horizontal="right" vertical="center"/>
    </xf>
    <xf numFmtId="0" fontId="30" fillId="0" borderId="22" xfId="37" applyFont="1" applyBorder="1" applyAlignment="1">
      <alignment horizontal="center" vertical="top"/>
    </xf>
    <xf numFmtId="0" fontId="30" fillId="0" borderId="12" xfId="37" applyFont="1" applyBorder="1" applyAlignment="1">
      <alignment horizontal="center" vertical="center"/>
    </xf>
    <xf numFmtId="0" fontId="30" fillId="0" borderId="13" xfId="37" applyFont="1" applyBorder="1" applyAlignment="1">
      <alignment horizontal="center" vertical="center"/>
    </xf>
    <xf numFmtId="0" fontId="30" fillId="0" borderId="14" xfId="37" applyFont="1" applyBorder="1" applyAlignment="1">
      <alignment horizontal="center" vertical="center"/>
    </xf>
    <xf numFmtId="0" fontId="30" fillId="0" borderId="18" xfId="37" applyFont="1" applyBorder="1" applyAlignment="1">
      <alignment horizontal="left" vertical="center" wrapText="1"/>
    </xf>
    <xf numFmtId="0" fontId="30" fillId="0" borderId="19" xfId="37" applyFont="1" applyBorder="1" applyAlignment="1">
      <alignment horizontal="left" vertical="center" wrapText="1"/>
    </xf>
    <xf numFmtId="0" fontId="30" fillId="0" borderId="16" xfId="37" applyFont="1" applyBorder="1" applyAlignment="1">
      <alignment horizontal="left" vertical="center" wrapText="1"/>
    </xf>
    <xf numFmtId="0" fontId="30" fillId="0" borderId="20" xfId="37" applyFont="1" applyBorder="1" applyAlignment="1">
      <alignment horizontal="left" vertical="center" wrapText="1"/>
    </xf>
    <xf numFmtId="0" fontId="25" fillId="0" borderId="13" xfId="37" applyFont="1" applyFill="1" applyBorder="1" applyAlignment="1">
      <alignment horizontal="left" vertical="top" wrapText="1"/>
    </xf>
    <xf numFmtId="0" fontId="25" fillId="0" borderId="14" xfId="37" applyFont="1" applyFill="1" applyBorder="1" applyAlignment="1">
      <alignment horizontal="left" vertical="top" wrapText="1"/>
    </xf>
    <xf numFmtId="9" fontId="31" fillId="0" borderId="12" xfId="37" applyNumberFormat="1" applyFont="1" applyBorder="1" applyAlignment="1">
      <alignment horizontal="center" vertical="center"/>
    </xf>
    <xf numFmtId="9" fontId="31" fillId="0" borderId="14" xfId="37" applyNumberFormat="1" applyFont="1" applyBorder="1" applyAlignment="1">
      <alignment horizontal="center" vertical="center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5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00FF"/>
      <color rgb="FFFFFF00"/>
      <color rgb="FF33CCCC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313766</xdr:colOff>
      <xdr:row>29</xdr:row>
      <xdr:rowOff>134470</xdr:rowOff>
    </xdr:from>
    <xdr:to>
      <xdr:col>17</xdr:col>
      <xdr:colOff>54264</xdr:colOff>
      <xdr:row>34</xdr:row>
      <xdr:rowOff>89646</xdr:rowOff>
    </xdr:to>
    <xdr:pic>
      <xdr:nvPicPr>
        <xdr:cNvPr id="11" name="Picture 10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01" y="9939617"/>
          <a:ext cx="3023822" cy="739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C00000"/>
  </sheetPr>
  <dimension ref="A1:AF998"/>
  <sheetViews>
    <sheetView showGridLines="0" tabSelected="1" zoomScale="85" zoomScaleNormal="85" workbookViewId="0">
      <selection activeCell="E4" sqref="E4:J4"/>
    </sheetView>
  </sheetViews>
  <sheetFormatPr defaultColWidth="9.140625" defaultRowHeight="12.75" zeroHeight="1"/>
  <cols>
    <col min="1" max="1" width="1" style="33" customWidth="1" collapsed="1"/>
    <col min="2" max="2" width="11.7109375" style="6" hidden="1" customWidth="1" collapsed="1"/>
    <col min="3" max="3" width="14.5703125" style="6" customWidth="1" collapsed="1"/>
    <col min="4" max="4" width="9.42578125" style="6" customWidth="1" collapsed="1"/>
    <col min="5" max="7" width="5" style="6" customWidth="1" collapsed="1"/>
    <col min="8" max="8" width="8.85546875" style="6" customWidth="1" collapsed="1"/>
    <col min="9" max="9" width="9.42578125" style="6" customWidth="1" collapsed="1"/>
    <col min="10" max="10" width="5" style="6" customWidth="1" collapsed="1"/>
    <col min="11" max="13" width="6" style="6" customWidth="1" collapsed="1"/>
    <col min="14" max="14" width="11" style="6" customWidth="1" collapsed="1"/>
    <col min="15" max="15" width="8.7109375" style="6" customWidth="1" collapsed="1"/>
    <col min="16" max="16" width="8.5703125" style="6" customWidth="1" collapsed="1"/>
    <col min="17" max="17" width="8.85546875" style="6" customWidth="1" collapsed="1"/>
    <col min="18" max="18" width="8.28515625" style="6" customWidth="1" collapsed="1"/>
    <col min="19" max="19" width="6.7109375" style="6" bestFit="1" customWidth="1" collapsed="1"/>
    <col min="20" max="21" width="6" style="6" customWidth="1" collapsed="1"/>
    <col min="22" max="22" width="8.42578125" style="6" customWidth="1" collapsed="1"/>
    <col min="23" max="23" width="6" style="6" customWidth="1" collapsed="1"/>
    <col min="24" max="24" width="10.5703125" style="6" customWidth="1" collapsed="1"/>
    <col min="25" max="25" width="12.42578125" style="6" customWidth="1" collapsed="1"/>
    <col min="26" max="26" width="15.5703125" style="6" customWidth="1" collapsed="1"/>
    <col min="27" max="27" width="15" style="6" hidden="1" customWidth="1"/>
    <col min="28" max="28" width="0" style="6" hidden="1" customWidth="1"/>
    <col min="29" max="32" width="9.140625" style="6"/>
    <col min="33" max="16384" width="9.140625" style="6" collapsed="1"/>
  </cols>
  <sheetData>
    <row r="1" spans="1:28" ht="44.25" customHeight="1" thickBot="1">
      <c r="C1" s="133" t="s">
        <v>184</v>
      </c>
      <c r="D1" s="133"/>
      <c r="E1" s="134" t="s">
        <v>37</v>
      </c>
      <c r="F1" s="134"/>
      <c r="G1" s="134"/>
      <c r="H1" s="119"/>
      <c r="I1" s="135" t="s">
        <v>185</v>
      </c>
      <c r="J1" s="135"/>
      <c r="K1" s="135"/>
      <c r="L1" s="135"/>
      <c r="M1" s="135"/>
      <c r="N1" s="135"/>
      <c r="O1" s="134" t="s">
        <v>46</v>
      </c>
      <c r="P1" s="134"/>
      <c r="Q1" s="135" t="s">
        <v>186</v>
      </c>
      <c r="R1" s="135"/>
      <c r="S1" s="135"/>
      <c r="T1" s="143">
        <v>47900</v>
      </c>
      <c r="U1" s="143"/>
      <c r="V1" s="143"/>
      <c r="W1" s="131" t="s">
        <v>187</v>
      </c>
      <c r="X1" s="131"/>
      <c r="Y1" s="131"/>
      <c r="Z1" s="131"/>
    </row>
    <row r="2" spans="1:28" ht="48" customHeight="1">
      <c r="C2" s="147" t="s">
        <v>171</v>
      </c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9"/>
      <c r="AA2" s="118" t="s">
        <v>46</v>
      </c>
      <c r="AB2" s="115" t="s">
        <v>46</v>
      </c>
    </row>
    <row r="3" spans="1:28" ht="48" customHeight="1">
      <c r="C3" s="136" t="s">
        <v>172</v>
      </c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8"/>
      <c r="AA3" s="118" t="s">
        <v>37</v>
      </c>
      <c r="AB3" s="115" t="s">
        <v>37</v>
      </c>
    </row>
    <row r="4" spans="1:28" ht="27" customHeight="1">
      <c r="C4" s="139" t="s">
        <v>173</v>
      </c>
      <c r="D4" s="140"/>
      <c r="E4" s="132" t="s">
        <v>192</v>
      </c>
      <c r="F4" s="132"/>
      <c r="G4" s="132"/>
      <c r="H4" s="132"/>
      <c r="I4" s="132"/>
      <c r="J4" s="132"/>
      <c r="K4" s="141" t="s">
        <v>48</v>
      </c>
      <c r="L4" s="141"/>
      <c r="M4" s="141"/>
      <c r="N4" s="132" t="s">
        <v>188</v>
      </c>
      <c r="O4" s="132"/>
      <c r="P4" s="132"/>
      <c r="Q4" s="132"/>
      <c r="R4" s="132"/>
      <c r="S4" s="132"/>
      <c r="T4" s="132" t="s">
        <v>179</v>
      </c>
      <c r="U4" s="132"/>
      <c r="V4" s="132"/>
      <c r="W4" s="132">
        <v>123456789</v>
      </c>
      <c r="X4" s="132"/>
      <c r="Y4" s="116" t="s">
        <v>176</v>
      </c>
      <c r="Z4" s="120" t="s">
        <v>190</v>
      </c>
    </row>
    <row r="5" spans="1:28" s="19" customFormat="1" ht="20.45" customHeight="1">
      <c r="A5" s="36"/>
      <c r="C5" s="139" t="s">
        <v>174</v>
      </c>
      <c r="D5" s="140"/>
      <c r="E5" s="142">
        <v>21719</v>
      </c>
      <c r="F5" s="142"/>
      <c r="G5" s="142"/>
      <c r="H5" s="142"/>
      <c r="I5" s="142"/>
      <c r="J5" s="142"/>
      <c r="K5" s="141" t="s">
        <v>175</v>
      </c>
      <c r="L5" s="141"/>
      <c r="M5" s="141"/>
      <c r="N5" s="132" t="s">
        <v>189</v>
      </c>
      <c r="O5" s="132"/>
      <c r="P5" s="132"/>
      <c r="Q5" s="132"/>
      <c r="R5" s="132"/>
      <c r="S5" s="132"/>
      <c r="T5" s="142" t="s">
        <v>178</v>
      </c>
      <c r="U5" s="142"/>
      <c r="V5" s="142"/>
      <c r="W5" s="132">
        <v>1245678</v>
      </c>
      <c r="X5" s="132"/>
      <c r="Y5" s="117" t="s">
        <v>177</v>
      </c>
      <c r="Z5" s="121" t="s">
        <v>190</v>
      </c>
    </row>
    <row r="6" spans="1:28" s="19" customFormat="1" ht="22.5" customHeight="1">
      <c r="A6" s="36"/>
      <c r="C6" s="150" t="s">
        <v>50</v>
      </c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 t="s">
        <v>51</v>
      </c>
      <c r="P6" s="151"/>
      <c r="Q6" s="151"/>
      <c r="R6" s="151"/>
      <c r="S6" s="151"/>
      <c r="T6" s="151"/>
      <c r="U6" s="151"/>
      <c r="V6" s="151"/>
      <c r="W6" s="151"/>
      <c r="X6" s="151"/>
      <c r="Y6" s="152" t="s">
        <v>55</v>
      </c>
      <c r="Z6" s="153" t="s">
        <v>44</v>
      </c>
    </row>
    <row r="7" spans="1:28" s="15" customFormat="1" ht="108.75" customHeight="1">
      <c r="A7" s="37"/>
      <c r="C7" s="108" t="s">
        <v>7</v>
      </c>
      <c r="D7" s="105" t="s">
        <v>1</v>
      </c>
      <c r="E7" s="105" t="s">
        <v>2</v>
      </c>
      <c r="F7" s="105" t="s">
        <v>29</v>
      </c>
      <c r="G7" s="105" t="s">
        <v>14</v>
      </c>
      <c r="H7" s="105" t="s">
        <v>15</v>
      </c>
      <c r="I7" s="105" t="s">
        <v>39</v>
      </c>
      <c r="J7" s="105" t="s">
        <v>33</v>
      </c>
      <c r="K7" s="105" t="s">
        <v>49</v>
      </c>
      <c r="L7" s="105" t="s">
        <v>53</v>
      </c>
      <c r="M7" s="105" t="s">
        <v>38</v>
      </c>
      <c r="N7" s="109" t="s">
        <v>32</v>
      </c>
      <c r="O7" s="105" t="str">
        <f>IF(O1="No","GPF","NPS")</f>
        <v>NPS</v>
      </c>
      <c r="P7" s="105" t="s">
        <v>52</v>
      </c>
      <c r="Q7" s="105" t="s">
        <v>180</v>
      </c>
      <c r="R7" s="105" t="s">
        <v>5</v>
      </c>
      <c r="S7" s="105" t="s">
        <v>36</v>
      </c>
      <c r="T7" s="105" t="s">
        <v>183</v>
      </c>
      <c r="U7" s="105" t="s">
        <v>54</v>
      </c>
      <c r="V7" s="105" t="s">
        <v>28</v>
      </c>
      <c r="W7" s="105" t="s">
        <v>54</v>
      </c>
      <c r="X7" s="105" t="s">
        <v>31</v>
      </c>
      <c r="Y7" s="152"/>
      <c r="Z7" s="153"/>
    </row>
    <row r="8" spans="1:28" s="16" customFormat="1" ht="18.95" customHeight="1">
      <c r="A8" s="38"/>
      <c r="B8" s="16">
        <v>3</v>
      </c>
      <c r="C8" s="57">
        <v>44621</v>
      </c>
      <c r="D8" s="106">
        <f>T1</f>
        <v>47900</v>
      </c>
      <c r="E8" s="29">
        <v>0</v>
      </c>
      <c r="F8" s="29">
        <v>0</v>
      </c>
      <c r="G8" s="29">
        <v>0</v>
      </c>
      <c r="H8" s="29">
        <f>ROUND(31%*D8,0)</f>
        <v>14849</v>
      </c>
      <c r="I8" s="66">
        <v>456</v>
      </c>
      <c r="J8" s="29">
        <v>0</v>
      </c>
      <c r="K8" s="29">
        <v>0</v>
      </c>
      <c r="L8" s="29">
        <v>0</v>
      </c>
      <c r="M8" s="29">
        <v>0</v>
      </c>
      <c r="N8" s="30">
        <f>SUM(D8:M8)</f>
        <v>63205</v>
      </c>
      <c r="O8" s="29">
        <f>IF($O$1="Yes",ROUND((D11+H11)*0.1,0),IF($O$1="No",D11*6%))</f>
        <v>6275</v>
      </c>
      <c r="P8" s="29">
        <v>87</v>
      </c>
      <c r="Q8" s="29">
        <v>208</v>
      </c>
      <c r="R8" s="29">
        <v>0</v>
      </c>
      <c r="S8" s="29">
        <v>200</v>
      </c>
      <c r="T8" s="29"/>
      <c r="U8" s="29"/>
      <c r="V8" s="29">
        <v>5000</v>
      </c>
      <c r="W8" s="107"/>
      <c r="X8" s="31">
        <f t="shared" ref="X8:X27" si="0">SUM(O8:W8)</f>
        <v>11770</v>
      </c>
      <c r="Y8" s="32">
        <f t="shared" ref="Y8:Y27" si="1">N8-X8</f>
        <v>51435</v>
      </c>
      <c r="Z8" s="58"/>
    </row>
    <row r="9" spans="1:28" s="16" customFormat="1" ht="18.95" customHeight="1">
      <c r="A9" s="38"/>
      <c r="B9" s="16">
        <v>4</v>
      </c>
      <c r="C9" s="57">
        <v>44652</v>
      </c>
      <c r="D9" s="29">
        <f>D8</f>
        <v>47900</v>
      </c>
      <c r="E9" s="29">
        <f>IF(E$8=0,0,ROUND(D9/2,0))</f>
        <v>0</v>
      </c>
      <c r="F9" s="29">
        <f t="shared" ref="F9:G14" si="2">IF(F$8=0,0,F8)</f>
        <v>0</v>
      </c>
      <c r="G9" s="29">
        <f t="shared" si="2"/>
        <v>0</v>
      </c>
      <c r="H9" s="29">
        <f t="shared" ref="H9:H11" si="3">ROUND(31%*D9,0)</f>
        <v>14849</v>
      </c>
      <c r="I9" s="66">
        <f>I8</f>
        <v>456</v>
      </c>
      <c r="J9" s="29">
        <f t="shared" ref="J9:J19" si="4">IF(J$8=0,0,J8)</f>
        <v>0</v>
      </c>
      <c r="K9" s="29">
        <f t="shared" ref="K9:L19" si="5">IF(K$8=0,0,K8)</f>
        <v>0</v>
      </c>
      <c r="L9" s="29">
        <f t="shared" si="5"/>
        <v>0</v>
      </c>
      <c r="M9" s="29">
        <f t="shared" ref="M9:M19" si="6">IF(M$8=0,0,M8)</f>
        <v>0</v>
      </c>
      <c r="N9" s="30">
        <f t="shared" ref="N9:N27" si="7">SUM(D9:M9)</f>
        <v>63205</v>
      </c>
      <c r="O9" s="29">
        <f>O8</f>
        <v>6275</v>
      </c>
      <c r="P9" s="29">
        <f>P8</f>
        <v>87</v>
      </c>
      <c r="Q9" s="29">
        <f>Q8</f>
        <v>208</v>
      </c>
      <c r="R9" s="29">
        <f>R8</f>
        <v>0</v>
      </c>
      <c r="S9" s="114">
        <f>S8</f>
        <v>200</v>
      </c>
      <c r="T9" s="29">
        <f t="shared" ref="T9:W19" si="8">T8</f>
        <v>0</v>
      </c>
      <c r="U9" s="29">
        <f t="shared" si="8"/>
        <v>0</v>
      </c>
      <c r="V9" s="29">
        <f>V8</f>
        <v>5000</v>
      </c>
      <c r="W9" s="29">
        <f t="shared" si="8"/>
        <v>0</v>
      </c>
      <c r="X9" s="31">
        <f t="shared" si="0"/>
        <v>11770</v>
      </c>
      <c r="Y9" s="32">
        <f t="shared" si="1"/>
        <v>51435</v>
      </c>
      <c r="Z9" s="58"/>
    </row>
    <row r="10" spans="1:28" s="16" customFormat="1" ht="18.95" customHeight="1">
      <c r="A10" s="38"/>
      <c r="B10" s="16">
        <v>5</v>
      </c>
      <c r="C10" s="57">
        <v>44682</v>
      </c>
      <c r="D10" s="29">
        <f t="shared" ref="D10:D19" si="9">D9</f>
        <v>47900</v>
      </c>
      <c r="E10" s="29">
        <f t="shared" ref="E10:E19" si="10">IF($E$8=0,0,ROUND(D10/2,0))</f>
        <v>0</v>
      </c>
      <c r="F10" s="29">
        <f t="shared" si="2"/>
        <v>0</v>
      </c>
      <c r="G10" s="29">
        <f t="shared" si="2"/>
        <v>0</v>
      </c>
      <c r="H10" s="29">
        <f t="shared" si="3"/>
        <v>14849</v>
      </c>
      <c r="I10" s="66">
        <f t="shared" ref="I10:I19" si="11">I9</f>
        <v>456</v>
      </c>
      <c r="J10" s="29">
        <f t="shared" si="4"/>
        <v>0</v>
      </c>
      <c r="K10" s="29">
        <f t="shared" ref="K10" si="12">IF(K$8=0,0,K9)</f>
        <v>0</v>
      </c>
      <c r="L10" s="29">
        <f>IF(L$8=0,0,L9)</f>
        <v>0</v>
      </c>
      <c r="M10" s="29">
        <f t="shared" si="6"/>
        <v>0</v>
      </c>
      <c r="N10" s="30">
        <f t="shared" si="7"/>
        <v>63205</v>
      </c>
      <c r="O10" s="29">
        <f t="shared" ref="O10:O19" si="13">O9</f>
        <v>6275</v>
      </c>
      <c r="P10" s="29">
        <f t="shared" ref="P10:P19" si="14">P9</f>
        <v>87</v>
      </c>
      <c r="Q10" s="29">
        <f t="shared" ref="Q10:Q18" si="15">Q9</f>
        <v>208</v>
      </c>
      <c r="R10" s="29">
        <f t="shared" ref="R10:S19" si="16">R9</f>
        <v>0</v>
      </c>
      <c r="S10" s="114">
        <f t="shared" si="16"/>
        <v>200</v>
      </c>
      <c r="T10" s="29">
        <f t="shared" si="8"/>
        <v>0</v>
      </c>
      <c r="U10" s="29">
        <f t="shared" si="8"/>
        <v>0</v>
      </c>
      <c r="V10" s="29">
        <f t="shared" si="8"/>
        <v>5000</v>
      </c>
      <c r="W10" s="29">
        <f t="shared" ref="W10" si="17">W9</f>
        <v>0</v>
      </c>
      <c r="X10" s="31">
        <f t="shared" si="0"/>
        <v>11770</v>
      </c>
      <c r="Y10" s="32">
        <f t="shared" si="1"/>
        <v>51435</v>
      </c>
      <c r="Z10" s="58"/>
    </row>
    <row r="11" spans="1:28" s="16" customFormat="1" ht="18.95" customHeight="1">
      <c r="A11" s="38"/>
      <c r="B11" s="16">
        <v>6</v>
      </c>
      <c r="C11" s="57">
        <v>44713</v>
      </c>
      <c r="D11" s="29">
        <f t="shared" si="9"/>
        <v>47900</v>
      </c>
      <c r="E11" s="29">
        <f t="shared" si="10"/>
        <v>0</v>
      </c>
      <c r="F11" s="29">
        <f t="shared" si="2"/>
        <v>0</v>
      </c>
      <c r="G11" s="29">
        <f t="shared" si="2"/>
        <v>0</v>
      </c>
      <c r="H11" s="29">
        <f t="shared" si="3"/>
        <v>14849</v>
      </c>
      <c r="I11" s="66">
        <f t="shared" si="11"/>
        <v>456</v>
      </c>
      <c r="J11" s="29">
        <f t="shared" si="4"/>
        <v>0</v>
      </c>
      <c r="K11" s="29">
        <f t="shared" si="5"/>
        <v>0</v>
      </c>
      <c r="L11" s="29">
        <f t="shared" si="5"/>
        <v>0</v>
      </c>
      <c r="M11" s="29">
        <f t="shared" si="6"/>
        <v>0</v>
      </c>
      <c r="N11" s="30">
        <f t="shared" si="7"/>
        <v>63205</v>
      </c>
      <c r="O11" s="29">
        <f t="shared" si="13"/>
        <v>6275</v>
      </c>
      <c r="P11" s="29">
        <f t="shared" si="14"/>
        <v>87</v>
      </c>
      <c r="Q11" s="29">
        <f t="shared" si="15"/>
        <v>208</v>
      </c>
      <c r="R11" s="29">
        <f t="shared" si="16"/>
        <v>0</v>
      </c>
      <c r="S11" s="114">
        <f t="shared" si="16"/>
        <v>200</v>
      </c>
      <c r="T11" s="29">
        <f t="shared" si="8"/>
        <v>0</v>
      </c>
      <c r="U11" s="29">
        <f t="shared" si="8"/>
        <v>0</v>
      </c>
      <c r="V11" s="29">
        <f t="shared" si="8"/>
        <v>5000</v>
      </c>
      <c r="W11" s="29">
        <f t="shared" ref="W11" si="18">W10</f>
        <v>0</v>
      </c>
      <c r="X11" s="31">
        <f t="shared" si="0"/>
        <v>11770</v>
      </c>
      <c r="Y11" s="32">
        <f t="shared" si="1"/>
        <v>51435</v>
      </c>
      <c r="Z11" s="58"/>
    </row>
    <row r="12" spans="1:28" s="16" customFormat="1" ht="18.95" customHeight="1">
      <c r="A12" s="38"/>
      <c r="B12" s="16">
        <v>7</v>
      </c>
      <c r="C12" s="57">
        <v>44743</v>
      </c>
      <c r="D12" s="29">
        <f>MROUND(ROUND(1.03*D8,0),100)</f>
        <v>49300</v>
      </c>
      <c r="E12" s="29">
        <f t="shared" si="10"/>
        <v>0</v>
      </c>
      <c r="F12" s="29">
        <f>IF(F$8=0,0,F11)</f>
        <v>0</v>
      </c>
      <c r="G12" s="29">
        <f>IF(G$8=0,0,G11)</f>
        <v>0</v>
      </c>
      <c r="H12" s="29">
        <f t="shared" ref="H12:H19" si="19">ROUND(34%*D12,0)</f>
        <v>16762</v>
      </c>
      <c r="I12" s="66">
        <f t="shared" si="11"/>
        <v>456</v>
      </c>
      <c r="J12" s="29">
        <f>IF(J$8=0,0,J11)</f>
        <v>0</v>
      </c>
      <c r="K12" s="29">
        <f t="shared" ref="K12" si="20">IF(K$8=0,0,K11)</f>
        <v>0</v>
      </c>
      <c r="L12" s="29">
        <f>IF(L$8=0,0,L11)</f>
        <v>0</v>
      </c>
      <c r="M12" s="29">
        <f>IF(M$8=0,0,M11)</f>
        <v>0</v>
      </c>
      <c r="N12" s="30">
        <f t="shared" si="7"/>
        <v>66518</v>
      </c>
      <c r="O12" s="29">
        <f t="shared" si="13"/>
        <v>6275</v>
      </c>
      <c r="P12" s="29">
        <f>P11</f>
        <v>87</v>
      </c>
      <c r="Q12" s="29">
        <f>Q11</f>
        <v>208</v>
      </c>
      <c r="R12" s="29">
        <f>R11</f>
        <v>0</v>
      </c>
      <c r="S12" s="114">
        <f t="shared" ref="S12:S19" si="21">S11</f>
        <v>200</v>
      </c>
      <c r="T12" s="29">
        <f>T11</f>
        <v>0</v>
      </c>
      <c r="U12" s="29">
        <f>U11</f>
        <v>0</v>
      </c>
      <c r="V12" s="29">
        <f t="shared" ref="V12:W19" si="22">V11</f>
        <v>5000</v>
      </c>
      <c r="W12" s="29">
        <f t="shared" si="22"/>
        <v>0</v>
      </c>
      <c r="X12" s="31">
        <f t="shared" si="0"/>
        <v>11770</v>
      </c>
      <c r="Y12" s="32">
        <f t="shared" si="1"/>
        <v>54748</v>
      </c>
      <c r="Z12" s="58"/>
    </row>
    <row r="13" spans="1:28" s="16" customFormat="1" ht="18.95" customHeight="1">
      <c r="A13" s="38"/>
      <c r="B13" s="16">
        <v>8</v>
      </c>
      <c r="C13" s="57">
        <v>44774</v>
      </c>
      <c r="D13" s="29">
        <f t="shared" si="9"/>
        <v>49300</v>
      </c>
      <c r="E13" s="29">
        <f t="shared" si="10"/>
        <v>0</v>
      </c>
      <c r="F13" s="29">
        <f t="shared" si="2"/>
        <v>0</v>
      </c>
      <c r="G13" s="29">
        <f t="shared" si="2"/>
        <v>0</v>
      </c>
      <c r="H13" s="29">
        <f t="shared" si="19"/>
        <v>16762</v>
      </c>
      <c r="I13" s="66">
        <f t="shared" si="11"/>
        <v>456</v>
      </c>
      <c r="J13" s="29">
        <f t="shared" si="4"/>
        <v>0</v>
      </c>
      <c r="K13" s="29">
        <f t="shared" si="5"/>
        <v>0</v>
      </c>
      <c r="L13" s="29">
        <f t="shared" si="5"/>
        <v>0</v>
      </c>
      <c r="M13" s="29">
        <f t="shared" si="6"/>
        <v>0</v>
      </c>
      <c r="N13" s="30">
        <f t="shared" si="7"/>
        <v>66518</v>
      </c>
      <c r="O13" s="29">
        <f t="shared" si="13"/>
        <v>6275</v>
      </c>
      <c r="P13" s="29">
        <f t="shared" si="14"/>
        <v>87</v>
      </c>
      <c r="Q13" s="29">
        <f t="shared" si="15"/>
        <v>208</v>
      </c>
      <c r="R13" s="29">
        <f t="shared" si="16"/>
        <v>0</v>
      </c>
      <c r="S13" s="114">
        <f t="shared" si="21"/>
        <v>200</v>
      </c>
      <c r="T13" s="29">
        <f t="shared" si="8"/>
        <v>0</v>
      </c>
      <c r="U13" s="29">
        <f t="shared" si="8"/>
        <v>0</v>
      </c>
      <c r="V13" s="29">
        <f t="shared" si="22"/>
        <v>5000</v>
      </c>
      <c r="W13" s="29">
        <f t="shared" si="22"/>
        <v>0</v>
      </c>
      <c r="X13" s="31">
        <f t="shared" si="0"/>
        <v>11770</v>
      </c>
      <c r="Y13" s="32">
        <f t="shared" si="1"/>
        <v>54748</v>
      </c>
      <c r="Z13" s="58"/>
    </row>
    <row r="14" spans="1:28" s="16" customFormat="1" ht="18.95" customHeight="1">
      <c r="A14" s="38"/>
      <c r="B14" s="16">
        <v>9</v>
      </c>
      <c r="C14" s="57">
        <v>44805</v>
      </c>
      <c r="D14" s="29">
        <f t="shared" si="9"/>
        <v>49300</v>
      </c>
      <c r="E14" s="29">
        <f t="shared" si="10"/>
        <v>0</v>
      </c>
      <c r="F14" s="29">
        <f t="shared" si="2"/>
        <v>0</v>
      </c>
      <c r="G14" s="29">
        <f t="shared" si="2"/>
        <v>0</v>
      </c>
      <c r="H14" s="29">
        <f t="shared" si="19"/>
        <v>16762</v>
      </c>
      <c r="I14" s="66">
        <f t="shared" si="11"/>
        <v>456</v>
      </c>
      <c r="J14" s="29">
        <f t="shared" si="4"/>
        <v>0</v>
      </c>
      <c r="K14" s="29">
        <f t="shared" si="5"/>
        <v>0</v>
      </c>
      <c r="L14" s="29">
        <f t="shared" si="5"/>
        <v>0</v>
      </c>
      <c r="M14" s="29">
        <f t="shared" si="6"/>
        <v>0</v>
      </c>
      <c r="N14" s="30">
        <f t="shared" si="7"/>
        <v>66518</v>
      </c>
      <c r="O14" s="29">
        <f t="shared" si="13"/>
        <v>6275</v>
      </c>
      <c r="P14" s="29">
        <f t="shared" si="14"/>
        <v>87</v>
      </c>
      <c r="Q14" s="29">
        <f t="shared" si="15"/>
        <v>208</v>
      </c>
      <c r="R14" s="29">
        <f t="shared" si="16"/>
        <v>0</v>
      </c>
      <c r="S14" s="114">
        <f t="shared" si="21"/>
        <v>200</v>
      </c>
      <c r="T14" s="29">
        <f t="shared" si="8"/>
        <v>0</v>
      </c>
      <c r="U14" s="29">
        <f t="shared" si="8"/>
        <v>0</v>
      </c>
      <c r="V14" s="29">
        <f t="shared" si="22"/>
        <v>5000</v>
      </c>
      <c r="W14" s="29">
        <f t="shared" si="22"/>
        <v>0</v>
      </c>
      <c r="X14" s="31">
        <f t="shared" si="0"/>
        <v>11770</v>
      </c>
      <c r="Y14" s="32">
        <f t="shared" si="1"/>
        <v>54748</v>
      </c>
      <c r="Z14" s="58"/>
    </row>
    <row r="15" spans="1:28" s="16" customFormat="1" ht="18.95" customHeight="1">
      <c r="A15" s="38"/>
      <c r="B15" s="16">
        <v>10</v>
      </c>
      <c r="C15" s="57">
        <v>44835</v>
      </c>
      <c r="D15" s="29">
        <f t="shared" si="9"/>
        <v>49300</v>
      </c>
      <c r="E15" s="29">
        <f t="shared" si="10"/>
        <v>0</v>
      </c>
      <c r="F15" s="29">
        <f>IF(F$8=0,0,F14)</f>
        <v>0</v>
      </c>
      <c r="G15" s="29">
        <f t="shared" ref="G15:G19" si="23">IF(G$8=0,0,G14)</f>
        <v>0</v>
      </c>
      <c r="H15" s="29">
        <f t="shared" si="19"/>
        <v>16762</v>
      </c>
      <c r="I15" s="66">
        <f t="shared" si="11"/>
        <v>456</v>
      </c>
      <c r="J15" s="29">
        <f t="shared" si="4"/>
        <v>0</v>
      </c>
      <c r="K15" s="29">
        <f t="shared" si="5"/>
        <v>0</v>
      </c>
      <c r="L15" s="29">
        <f t="shared" si="5"/>
        <v>0</v>
      </c>
      <c r="M15" s="29">
        <f t="shared" si="6"/>
        <v>0</v>
      </c>
      <c r="N15" s="30">
        <f t="shared" si="7"/>
        <v>66518</v>
      </c>
      <c r="O15" s="29">
        <f t="shared" si="13"/>
        <v>6275</v>
      </c>
      <c r="P15" s="29">
        <f t="shared" si="14"/>
        <v>87</v>
      </c>
      <c r="Q15" s="29">
        <f t="shared" si="15"/>
        <v>208</v>
      </c>
      <c r="R15" s="29">
        <f t="shared" si="16"/>
        <v>0</v>
      </c>
      <c r="S15" s="114">
        <f t="shared" si="21"/>
        <v>200</v>
      </c>
      <c r="T15" s="29">
        <f t="shared" si="8"/>
        <v>0</v>
      </c>
      <c r="U15" s="29">
        <f t="shared" si="8"/>
        <v>0</v>
      </c>
      <c r="V15" s="29">
        <f t="shared" si="22"/>
        <v>5000</v>
      </c>
      <c r="W15" s="29">
        <f t="shared" si="22"/>
        <v>0</v>
      </c>
      <c r="X15" s="31">
        <f t="shared" si="0"/>
        <v>11770</v>
      </c>
      <c r="Y15" s="32">
        <f t="shared" si="1"/>
        <v>54748</v>
      </c>
      <c r="Z15" s="58"/>
    </row>
    <row r="16" spans="1:28" s="16" customFormat="1" ht="18.95" customHeight="1">
      <c r="A16" s="38"/>
      <c r="B16" s="16">
        <v>11</v>
      </c>
      <c r="C16" s="57">
        <v>44866</v>
      </c>
      <c r="D16" s="29">
        <f t="shared" si="9"/>
        <v>49300</v>
      </c>
      <c r="E16" s="29">
        <f t="shared" si="10"/>
        <v>0</v>
      </c>
      <c r="F16" s="29">
        <f>IF(F$8=0,0,F15)</f>
        <v>0</v>
      </c>
      <c r="G16" s="29">
        <f t="shared" si="23"/>
        <v>0</v>
      </c>
      <c r="H16" s="29">
        <f t="shared" si="19"/>
        <v>16762</v>
      </c>
      <c r="I16" s="66">
        <f t="shared" si="11"/>
        <v>456</v>
      </c>
      <c r="J16" s="29">
        <f t="shared" si="4"/>
        <v>0</v>
      </c>
      <c r="K16" s="29">
        <f t="shared" si="5"/>
        <v>0</v>
      </c>
      <c r="L16" s="29">
        <f t="shared" si="5"/>
        <v>0</v>
      </c>
      <c r="M16" s="29">
        <f t="shared" si="6"/>
        <v>0</v>
      </c>
      <c r="N16" s="30">
        <f t="shared" si="7"/>
        <v>66518</v>
      </c>
      <c r="O16" s="29">
        <f t="shared" si="13"/>
        <v>6275</v>
      </c>
      <c r="P16" s="29">
        <f t="shared" si="14"/>
        <v>87</v>
      </c>
      <c r="Q16" s="29">
        <f t="shared" si="15"/>
        <v>208</v>
      </c>
      <c r="R16" s="29">
        <f t="shared" si="16"/>
        <v>0</v>
      </c>
      <c r="S16" s="114">
        <f t="shared" si="21"/>
        <v>200</v>
      </c>
      <c r="T16" s="29">
        <f t="shared" si="8"/>
        <v>0</v>
      </c>
      <c r="U16" s="29">
        <f t="shared" si="8"/>
        <v>0</v>
      </c>
      <c r="V16" s="29">
        <f t="shared" si="22"/>
        <v>5000</v>
      </c>
      <c r="W16" s="29">
        <f t="shared" si="22"/>
        <v>0</v>
      </c>
      <c r="X16" s="31">
        <f t="shared" si="0"/>
        <v>11770</v>
      </c>
      <c r="Y16" s="32">
        <f t="shared" si="1"/>
        <v>54748</v>
      </c>
      <c r="Z16" s="58"/>
    </row>
    <row r="17" spans="1:26" s="16" customFormat="1" ht="18.95" customHeight="1">
      <c r="A17" s="38"/>
      <c r="B17" s="16">
        <v>12</v>
      </c>
      <c r="C17" s="57">
        <v>44896</v>
      </c>
      <c r="D17" s="29">
        <f t="shared" si="9"/>
        <v>49300</v>
      </c>
      <c r="E17" s="29">
        <f t="shared" si="10"/>
        <v>0</v>
      </c>
      <c r="F17" s="29">
        <f>IF(F$8=0,0,F16)</f>
        <v>0</v>
      </c>
      <c r="G17" s="29">
        <f t="shared" si="23"/>
        <v>0</v>
      </c>
      <c r="H17" s="29">
        <f t="shared" si="19"/>
        <v>16762</v>
      </c>
      <c r="I17" s="66">
        <f t="shared" si="11"/>
        <v>456</v>
      </c>
      <c r="J17" s="29">
        <f t="shared" si="4"/>
        <v>0</v>
      </c>
      <c r="K17" s="29">
        <f t="shared" si="5"/>
        <v>0</v>
      </c>
      <c r="L17" s="29">
        <f t="shared" si="5"/>
        <v>0</v>
      </c>
      <c r="M17" s="29">
        <f t="shared" si="6"/>
        <v>0</v>
      </c>
      <c r="N17" s="30">
        <f t="shared" si="7"/>
        <v>66518</v>
      </c>
      <c r="O17" s="29">
        <f t="shared" si="13"/>
        <v>6275</v>
      </c>
      <c r="P17" s="29">
        <f t="shared" si="14"/>
        <v>87</v>
      </c>
      <c r="Q17" s="29">
        <f t="shared" si="15"/>
        <v>208</v>
      </c>
      <c r="R17" s="29">
        <f t="shared" si="16"/>
        <v>0</v>
      </c>
      <c r="S17" s="114">
        <f t="shared" si="21"/>
        <v>200</v>
      </c>
      <c r="T17" s="29">
        <f t="shared" si="8"/>
        <v>0</v>
      </c>
      <c r="U17" s="29">
        <f t="shared" si="8"/>
        <v>0</v>
      </c>
      <c r="V17" s="29">
        <f t="shared" si="22"/>
        <v>5000</v>
      </c>
      <c r="W17" s="29"/>
      <c r="X17" s="31">
        <f t="shared" si="0"/>
        <v>11770</v>
      </c>
      <c r="Y17" s="32">
        <f t="shared" si="1"/>
        <v>54748</v>
      </c>
      <c r="Z17" s="58"/>
    </row>
    <row r="18" spans="1:26" s="16" customFormat="1" ht="18.95" customHeight="1">
      <c r="A18" s="38"/>
      <c r="B18" s="16">
        <v>1</v>
      </c>
      <c r="C18" s="57">
        <v>44927</v>
      </c>
      <c r="D18" s="29">
        <f t="shared" si="9"/>
        <v>49300</v>
      </c>
      <c r="E18" s="29">
        <f t="shared" si="10"/>
        <v>0</v>
      </c>
      <c r="F18" s="29">
        <f>IF(F$8=0,0,F17)</f>
        <v>0</v>
      </c>
      <c r="G18" s="29">
        <f t="shared" si="23"/>
        <v>0</v>
      </c>
      <c r="H18" s="29">
        <f t="shared" si="19"/>
        <v>16762</v>
      </c>
      <c r="I18" s="66">
        <f t="shared" si="11"/>
        <v>456</v>
      </c>
      <c r="J18" s="29">
        <f t="shared" si="4"/>
        <v>0</v>
      </c>
      <c r="K18" s="29">
        <f t="shared" si="5"/>
        <v>0</v>
      </c>
      <c r="L18" s="29">
        <f t="shared" si="5"/>
        <v>0</v>
      </c>
      <c r="M18" s="29">
        <f t="shared" si="6"/>
        <v>0</v>
      </c>
      <c r="N18" s="30">
        <f t="shared" si="7"/>
        <v>66518</v>
      </c>
      <c r="O18" s="29">
        <f t="shared" si="13"/>
        <v>6275</v>
      </c>
      <c r="P18" s="29">
        <f t="shared" si="14"/>
        <v>87</v>
      </c>
      <c r="Q18" s="29">
        <f t="shared" si="15"/>
        <v>208</v>
      </c>
      <c r="R18" s="29">
        <f t="shared" si="16"/>
        <v>0</v>
      </c>
      <c r="S18" s="114">
        <f t="shared" si="21"/>
        <v>200</v>
      </c>
      <c r="T18" s="29">
        <f t="shared" si="8"/>
        <v>0</v>
      </c>
      <c r="U18" s="29">
        <f t="shared" si="8"/>
        <v>0</v>
      </c>
      <c r="V18" s="29">
        <f t="shared" si="22"/>
        <v>5000</v>
      </c>
      <c r="W18" s="29"/>
      <c r="X18" s="31">
        <f t="shared" si="0"/>
        <v>11770</v>
      </c>
      <c r="Y18" s="32">
        <f t="shared" si="1"/>
        <v>54748</v>
      </c>
      <c r="Z18" s="58"/>
    </row>
    <row r="19" spans="1:26" s="16" customFormat="1" ht="18.95" customHeight="1">
      <c r="A19" s="38"/>
      <c r="B19" s="16">
        <v>2</v>
      </c>
      <c r="C19" s="57">
        <v>44958</v>
      </c>
      <c r="D19" s="29">
        <f t="shared" si="9"/>
        <v>49300</v>
      </c>
      <c r="E19" s="29">
        <f t="shared" si="10"/>
        <v>0</v>
      </c>
      <c r="F19" s="29">
        <f>IF(F$8=0,0,F18)</f>
        <v>0</v>
      </c>
      <c r="G19" s="29">
        <f t="shared" si="23"/>
        <v>0</v>
      </c>
      <c r="H19" s="29">
        <f t="shared" si="19"/>
        <v>16762</v>
      </c>
      <c r="I19" s="66">
        <f t="shared" si="11"/>
        <v>456</v>
      </c>
      <c r="J19" s="29">
        <f t="shared" si="4"/>
        <v>0</v>
      </c>
      <c r="K19" s="29">
        <f t="shared" si="5"/>
        <v>0</v>
      </c>
      <c r="L19" s="29">
        <f t="shared" si="5"/>
        <v>0</v>
      </c>
      <c r="M19" s="29">
        <f t="shared" si="6"/>
        <v>0</v>
      </c>
      <c r="N19" s="30">
        <f t="shared" si="7"/>
        <v>66518</v>
      </c>
      <c r="O19" s="29">
        <f t="shared" si="13"/>
        <v>6275</v>
      </c>
      <c r="P19" s="29">
        <f t="shared" si="14"/>
        <v>87</v>
      </c>
      <c r="Q19" s="29">
        <v>212</v>
      </c>
      <c r="R19" s="29">
        <f t="shared" si="16"/>
        <v>0</v>
      </c>
      <c r="S19" s="114">
        <f t="shared" si="21"/>
        <v>200</v>
      </c>
      <c r="T19" s="29">
        <f t="shared" si="8"/>
        <v>0</v>
      </c>
      <c r="U19" s="29">
        <f t="shared" si="8"/>
        <v>0</v>
      </c>
      <c r="V19" s="29">
        <f t="shared" si="22"/>
        <v>5000</v>
      </c>
      <c r="W19" s="29"/>
      <c r="X19" s="31">
        <f t="shared" si="0"/>
        <v>11774</v>
      </c>
      <c r="Y19" s="32">
        <f t="shared" si="1"/>
        <v>54744</v>
      </c>
      <c r="Z19" s="58"/>
    </row>
    <row r="20" spans="1:26" s="16" customFormat="1" ht="18.95" customHeight="1">
      <c r="A20" s="38"/>
      <c r="C20" s="59" t="s">
        <v>45</v>
      </c>
      <c r="D20" s="29"/>
      <c r="E20" s="29"/>
      <c r="F20" s="29"/>
      <c r="G20" s="29"/>
      <c r="H20" s="29">
        <f>(ROUND(34%*D8,0)-ROUND(31%*D8,0))*6</f>
        <v>8622</v>
      </c>
      <c r="I20" s="29"/>
      <c r="J20" s="29"/>
      <c r="K20" s="29"/>
      <c r="L20" s="29"/>
      <c r="M20" s="29"/>
      <c r="N20" s="30">
        <f>H20</f>
        <v>8622</v>
      </c>
      <c r="O20" s="29">
        <f t="shared" ref="O20" si="24">IF(O13&lt;&gt;"Yes",ROUND((D20+H20)*0.1,0),IF(O13&lt;&gt;"No",ROUND((D20)*0.1,0)))</f>
        <v>862</v>
      </c>
      <c r="P20" s="29"/>
      <c r="Q20" s="29"/>
      <c r="R20" s="29">
        <v>0</v>
      </c>
      <c r="S20" s="29"/>
      <c r="T20" s="29"/>
      <c r="U20" s="29"/>
      <c r="V20" s="29"/>
      <c r="W20" s="29"/>
      <c r="X20" s="31">
        <f t="shared" si="0"/>
        <v>862</v>
      </c>
      <c r="Y20" s="32">
        <f t="shared" si="1"/>
        <v>7760</v>
      </c>
      <c r="Z20" s="58"/>
    </row>
    <row r="21" spans="1:26" s="16" customFormat="1" ht="18.95" customHeight="1">
      <c r="A21" s="38"/>
      <c r="C21" s="59" t="s">
        <v>45</v>
      </c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30"/>
      <c r="O21" s="29"/>
      <c r="P21" s="29"/>
      <c r="Q21" s="29"/>
      <c r="R21" s="29"/>
      <c r="S21" s="29"/>
      <c r="T21" s="29"/>
      <c r="U21" s="29"/>
      <c r="V21" s="29"/>
      <c r="W21" s="29"/>
      <c r="X21" s="31">
        <f t="shared" si="0"/>
        <v>0</v>
      </c>
      <c r="Y21" s="32">
        <f t="shared" si="1"/>
        <v>0</v>
      </c>
      <c r="Z21" s="58"/>
    </row>
    <row r="22" spans="1:26" s="16" customFormat="1" ht="18.95" customHeight="1">
      <c r="A22" s="38"/>
      <c r="C22" s="60" t="s">
        <v>26</v>
      </c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30"/>
      <c r="O22" s="29"/>
      <c r="P22" s="29"/>
      <c r="Q22" s="29"/>
      <c r="R22" s="29"/>
      <c r="S22" s="29"/>
      <c r="T22" s="29"/>
      <c r="U22" s="29"/>
      <c r="V22" s="29"/>
      <c r="W22" s="29"/>
      <c r="X22" s="31">
        <f t="shared" si="0"/>
        <v>0</v>
      </c>
      <c r="Y22" s="32">
        <f t="shared" si="1"/>
        <v>0</v>
      </c>
      <c r="Z22" s="58"/>
    </row>
    <row r="23" spans="1:26" s="16" customFormat="1" ht="18.95" customHeight="1">
      <c r="A23" s="38"/>
      <c r="C23" s="61" t="s">
        <v>27</v>
      </c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30">
        <f t="shared" si="7"/>
        <v>0</v>
      </c>
      <c r="O23" s="29"/>
      <c r="P23" s="29"/>
      <c r="Q23" s="29"/>
      <c r="R23" s="29"/>
      <c r="S23" s="29"/>
      <c r="T23" s="29"/>
      <c r="U23" s="29"/>
      <c r="V23" s="29"/>
      <c r="W23" s="29"/>
      <c r="X23" s="31">
        <f t="shared" si="0"/>
        <v>0</v>
      </c>
      <c r="Y23" s="32">
        <f t="shared" si="1"/>
        <v>0</v>
      </c>
      <c r="Z23" s="58"/>
    </row>
    <row r="24" spans="1:26" s="16" customFormat="1" ht="18.95" customHeight="1">
      <c r="A24" s="38"/>
      <c r="C24" s="61" t="s">
        <v>40</v>
      </c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30">
        <f t="shared" si="7"/>
        <v>0</v>
      </c>
      <c r="O24" s="29"/>
      <c r="P24" s="29"/>
      <c r="Q24" s="29"/>
      <c r="R24" s="29"/>
      <c r="S24" s="29"/>
      <c r="T24" s="29"/>
      <c r="U24" s="29"/>
      <c r="V24" s="29"/>
      <c r="W24" s="29"/>
      <c r="X24" s="31">
        <f t="shared" si="0"/>
        <v>0</v>
      </c>
      <c r="Y24" s="32">
        <f t="shared" si="1"/>
        <v>0</v>
      </c>
      <c r="Z24" s="58"/>
    </row>
    <row r="25" spans="1:26" s="16" customFormat="1" ht="18.95" customHeight="1">
      <c r="A25" s="38"/>
      <c r="C25" s="61" t="s">
        <v>41</v>
      </c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30">
        <f t="shared" si="7"/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31">
        <f t="shared" si="0"/>
        <v>0</v>
      </c>
      <c r="Y25" s="32">
        <f t="shared" si="1"/>
        <v>0</v>
      </c>
      <c r="Z25" s="58"/>
    </row>
    <row r="26" spans="1:26" s="16" customFormat="1" ht="18.95" customHeight="1">
      <c r="A26" s="38"/>
      <c r="C26" s="61" t="s">
        <v>42</v>
      </c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>
        <f t="shared" si="7"/>
        <v>0</v>
      </c>
      <c r="O26" s="29"/>
      <c r="P26" s="29"/>
      <c r="Q26" s="29"/>
      <c r="R26" s="29"/>
      <c r="S26" s="29"/>
      <c r="T26" s="29"/>
      <c r="U26" s="29"/>
      <c r="V26" s="29"/>
      <c r="W26" s="29"/>
      <c r="X26" s="31">
        <f t="shared" si="0"/>
        <v>0</v>
      </c>
      <c r="Y26" s="32">
        <f t="shared" si="1"/>
        <v>0</v>
      </c>
      <c r="Z26" s="58"/>
    </row>
    <row r="27" spans="1:26" s="16" customFormat="1" ht="18.95" customHeight="1">
      <c r="A27" s="38"/>
      <c r="C27" s="61" t="s">
        <v>30</v>
      </c>
      <c r="D27" s="29"/>
      <c r="E27" s="29">
        <v>0</v>
      </c>
      <c r="F27" s="29">
        <v>0</v>
      </c>
      <c r="G27" s="29"/>
      <c r="H27" s="29"/>
      <c r="I27" s="29"/>
      <c r="J27" s="29"/>
      <c r="K27" s="29"/>
      <c r="L27" s="29"/>
      <c r="M27" s="29"/>
      <c r="N27" s="30">
        <f t="shared" si="7"/>
        <v>0</v>
      </c>
      <c r="O27" s="29"/>
      <c r="P27" s="29"/>
      <c r="Q27" s="29"/>
      <c r="R27" s="29"/>
      <c r="S27" s="29"/>
      <c r="T27" s="29"/>
      <c r="U27" s="29"/>
      <c r="V27" s="29"/>
      <c r="W27" s="29"/>
      <c r="X27" s="31">
        <f t="shared" si="0"/>
        <v>0</v>
      </c>
      <c r="Y27" s="32">
        <f t="shared" si="1"/>
        <v>0</v>
      </c>
      <c r="Z27" s="58"/>
    </row>
    <row r="28" spans="1:26" s="17" customFormat="1" ht="70.5" customHeight="1" thickBot="1">
      <c r="A28" s="39"/>
      <c r="C28" s="62" t="s">
        <v>22</v>
      </c>
      <c r="D28" s="63">
        <f>SUM(D8:D27)</f>
        <v>586000</v>
      </c>
      <c r="E28" s="63">
        <f t="shared" ref="E28:Y28" si="25">SUM(E8:E27)</f>
        <v>0</v>
      </c>
      <c r="F28" s="63">
        <f t="shared" si="25"/>
        <v>0</v>
      </c>
      <c r="G28" s="63">
        <f t="shared" si="25"/>
        <v>0</v>
      </c>
      <c r="H28" s="63">
        <f t="shared" si="25"/>
        <v>202114</v>
      </c>
      <c r="I28" s="63">
        <f t="shared" si="25"/>
        <v>5472</v>
      </c>
      <c r="J28" s="63">
        <f t="shared" si="25"/>
        <v>0</v>
      </c>
      <c r="K28" s="63">
        <f t="shared" si="25"/>
        <v>0</v>
      </c>
      <c r="L28" s="63">
        <f t="shared" si="25"/>
        <v>0</v>
      </c>
      <c r="M28" s="63">
        <f t="shared" si="25"/>
        <v>0</v>
      </c>
      <c r="N28" s="63">
        <f t="shared" si="25"/>
        <v>793586</v>
      </c>
      <c r="O28" s="63">
        <f t="shared" si="25"/>
        <v>76162</v>
      </c>
      <c r="P28" s="63">
        <f t="shared" si="25"/>
        <v>1044</v>
      </c>
      <c r="Q28" s="63">
        <f t="shared" si="25"/>
        <v>2500</v>
      </c>
      <c r="R28" s="63">
        <f t="shared" si="25"/>
        <v>0</v>
      </c>
      <c r="S28" s="64">
        <f t="shared" si="25"/>
        <v>2400</v>
      </c>
      <c r="T28" s="63">
        <f t="shared" si="25"/>
        <v>0</v>
      </c>
      <c r="U28" s="63">
        <f t="shared" si="25"/>
        <v>0</v>
      </c>
      <c r="V28" s="63">
        <f t="shared" si="25"/>
        <v>60000</v>
      </c>
      <c r="W28" s="63">
        <f t="shared" si="25"/>
        <v>0</v>
      </c>
      <c r="X28" s="64">
        <f t="shared" si="25"/>
        <v>142106</v>
      </c>
      <c r="Y28" s="64">
        <f t="shared" si="25"/>
        <v>651480</v>
      </c>
      <c r="Z28" s="65"/>
    </row>
    <row r="29" spans="1:26" s="7" customFormat="1">
      <c r="A29" s="40"/>
      <c r="C29" s="122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123"/>
    </row>
    <row r="30" spans="1:26" s="7" customFormat="1">
      <c r="A30" s="40"/>
      <c r="C30" s="122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123"/>
    </row>
    <row r="31" spans="1:26" s="7" customFormat="1">
      <c r="A31" s="40"/>
      <c r="C31" s="122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123"/>
    </row>
    <row r="32" spans="1:26">
      <c r="C32" s="124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125"/>
    </row>
    <row r="33" spans="3:26">
      <c r="C33" s="124"/>
      <c r="D33" s="3"/>
      <c r="E33" s="20" t="s">
        <v>23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20" t="s">
        <v>24</v>
      </c>
      <c r="Z33" s="125"/>
    </row>
    <row r="34" spans="3:26">
      <c r="C34" s="126"/>
      <c r="Z34" s="127"/>
    </row>
    <row r="35" spans="3:26" ht="13.5" thickBot="1">
      <c r="C35" s="144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6"/>
    </row>
    <row r="36" spans="3:26"/>
    <row r="37" spans="3:26"/>
    <row r="38" spans="3:26" hidden="1"/>
    <row r="39" spans="3:26" hidden="1"/>
    <row r="40" spans="3:26" hidden="1"/>
    <row r="41" spans="3:26" hidden="1"/>
    <row r="42" spans="3:26" hidden="1"/>
    <row r="43" spans="3:26" hidden="1"/>
    <row r="44" spans="3:26" hidden="1"/>
    <row r="45" spans="3:26" hidden="1"/>
    <row r="46" spans="3:26" hidden="1"/>
    <row r="47" spans="3:26" hidden="1"/>
    <row r="48" spans="3:26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</sheetData>
  <sheetProtection password="FC12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6">
    <mergeCell ref="C35:Z35"/>
    <mergeCell ref="C2:Z2"/>
    <mergeCell ref="C4:D4"/>
    <mergeCell ref="C6:N6"/>
    <mergeCell ref="O6:X6"/>
    <mergeCell ref="Y6:Y7"/>
    <mergeCell ref="Z6:Z7"/>
    <mergeCell ref="C5:D5"/>
    <mergeCell ref="K4:M4"/>
    <mergeCell ref="K5:M5"/>
    <mergeCell ref="W4:X4"/>
    <mergeCell ref="W5:X5"/>
    <mergeCell ref="T4:V4"/>
    <mergeCell ref="T5:V5"/>
    <mergeCell ref="E5:J5"/>
    <mergeCell ref="N5:S5"/>
    <mergeCell ref="W1:Z1"/>
    <mergeCell ref="E4:J4"/>
    <mergeCell ref="N4:S4"/>
    <mergeCell ref="C1:D1"/>
    <mergeCell ref="E1:G1"/>
    <mergeCell ref="I1:N1"/>
    <mergeCell ref="C3:Z3"/>
    <mergeCell ref="O1:P1"/>
    <mergeCell ref="Q1:S1"/>
    <mergeCell ref="T1:V1"/>
  </mergeCells>
  <phoneticPr fontId="0" type="noConversion"/>
  <conditionalFormatting sqref="W9:W27 D8:V27">
    <cfRule type="cellIs" dxfId="3" priority="8" stopIfTrue="1" operator="equal">
      <formula>0</formula>
    </cfRule>
  </conditionalFormatting>
  <dataValidations count="2">
    <dataValidation type="list" allowBlank="1" showInputMessage="1" showErrorMessage="1" sqref="E1:G1">
      <formula1>$AB$2:$AB$3</formula1>
    </dataValidation>
    <dataValidation type="list" allowBlank="1" showInputMessage="1" showErrorMessage="1" sqref="O1:P1">
      <formula1>$AA$2:$AA$3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0" orientation="landscape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A10" sqref="A10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34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157" t="s">
        <v>154</v>
      </c>
      <c r="B1" s="157"/>
      <c r="C1" s="157"/>
      <c r="D1" s="157"/>
      <c r="E1" s="157"/>
      <c r="F1" s="157"/>
    </row>
    <row r="2" spans="1:122" ht="27.75" customHeight="1">
      <c r="A2" s="158" t="str">
        <f>'Salary Sheet'!E4</f>
        <v>PARMANAND MEGHWAL</v>
      </c>
      <c r="B2" s="158"/>
      <c r="C2" s="158"/>
      <c r="D2" s="158"/>
      <c r="E2" s="158"/>
      <c r="F2" s="158"/>
    </row>
    <row r="3" spans="1:122" ht="15" customHeight="1">
      <c r="A3" s="98" t="s">
        <v>121</v>
      </c>
      <c r="B3" s="51">
        <v>9240</v>
      </c>
      <c r="C3" s="52"/>
      <c r="D3" s="98" t="s">
        <v>134</v>
      </c>
      <c r="E3" s="51">
        <v>0</v>
      </c>
      <c r="F3" s="47" t="s">
        <v>43</v>
      </c>
      <c r="DR3" s="5" t="s">
        <v>8</v>
      </c>
    </row>
    <row r="4" spans="1:122">
      <c r="A4" s="99" t="s">
        <v>155</v>
      </c>
      <c r="B4" s="53">
        <v>0</v>
      </c>
      <c r="C4" s="54"/>
      <c r="D4" s="100" t="s">
        <v>136</v>
      </c>
      <c r="E4" s="53">
        <v>0</v>
      </c>
      <c r="F4" s="47">
        <f>'Salary Sheet'!D28+'Salary Sheet'!H28</f>
        <v>788114</v>
      </c>
      <c r="DR4" s="5"/>
    </row>
    <row r="5" spans="1:122" ht="15" customHeight="1">
      <c r="A5" s="98" t="s">
        <v>166</v>
      </c>
      <c r="B5" s="51">
        <v>0</v>
      </c>
      <c r="C5" s="52"/>
      <c r="D5" s="98" t="s">
        <v>165</v>
      </c>
      <c r="E5" s="51">
        <v>0</v>
      </c>
      <c r="F5" s="48" t="s">
        <v>16</v>
      </c>
      <c r="DR5" s="5"/>
    </row>
    <row r="6" spans="1:122" ht="17.25" customHeight="1">
      <c r="A6" s="100" t="s">
        <v>124</v>
      </c>
      <c r="B6" s="53">
        <v>0</v>
      </c>
      <c r="C6" s="54"/>
      <c r="D6" s="100" t="s">
        <v>164</v>
      </c>
      <c r="E6" s="53">
        <v>0</v>
      </c>
      <c r="F6" s="48">
        <f>'Tax Old Regime'!P47</f>
        <v>604640</v>
      </c>
      <c r="DR6" s="5"/>
    </row>
    <row r="7" spans="1:122" ht="15" customHeight="1">
      <c r="A7" s="98" t="s">
        <v>123</v>
      </c>
      <c r="B7" s="51">
        <v>0</v>
      </c>
      <c r="C7" s="52"/>
      <c r="D7" s="102" t="s">
        <v>138</v>
      </c>
      <c r="E7" s="51">
        <v>50000</v>
      </c>
      <c r="F7" s="49" t="s">
        <v>25</v>
      </c>
      <c r="DR7" s="5"/>
    </row>
    <row r="8" spans="1:122" ht="15" customHeight="1">
      <c r="A8" s="101" t="s">
        <v>169</v>
      </c>
      <c r="B8" s="55">
        <v>0</v>
      </c>
      <c r="C8" s="54"/>
      <c r="D8" s="100" t="s">
        <v>143</v>
      </c>
      <c r="E8" s="55">
        <v>0</v>
      </c>
      <c r="F8" s="50">
        <f>'Salary Sheet'!V28</f>
        <v>60000</v>
      </c>
      <c r="DR8" s="5"/>
    </row>
    <row r="9" spans="1:122" ht="15" customHeight="1">
      <c r="A9" s="98" t="s">
        <v>122</v>
      </c>
      <c r="B9" s="51">
        <v>0</v>
      </c>
      <c r="C9" s="52"/>
      <c r="D9" s="98" t="s">
        <v>144</v>
      </c>
      <c r="E9" s="51">
        <v>0</v>
      </c>
      <c r="F9" s="159" t="s">
        <v>35</v>
      </c>
      <c r="DR9" s="5"/>
    </row>
    <row r="10" spans="1:122" ht="15" customHeight="1">
      <c r="A10" s="101" t="s">
        <v>125</v>
      </c>
      <c r="B10" s="55">
        <v>0</v>
      </c>
      <c r="C10" s="54"/>
      <c r="D10" s="101" t="s">
        <v>145</v>
      </c>
      <c r="E10" s="55">
        <v>0</v>
      </c>
      <c r="F10" s="159"/>
      <c r="DR10" s="5" t="s">
        <v>9</v>
      </c>
    </row>
    <row r="11" spans="1:122" ht="15" customHeight="1">
      <c r="A11" s="98" t="s">
        <v>126</v>
      </c>
      <c r="B11" s="51">
        <v>0</v>
      </c>
      <c r="C11" s="52"/>
      <c r="D11" s="98" t="s">
        <v>146</v>
      </c>
      <c r="E11" s="51">
        <v>0</v>
      </c>
      <c r="F11" s="159"/>
      <c r="DR11" s="5" t="s">
        <v>11</v>
      </c>
    </row>
    <row r="12" spans="1:122" ht="15" customHeight="1">
      <c r="A12" s="101" t="s">
        <v>135</v>
      </c>
      <c r="B12" s="55">
        <v>0</v>
      </c>
      <c r="C12" s="54"/>
      <c r="D12" s="101" t="s">
        <v>147</v>
      </c>
      <c r="E12" s="55">
        <v>0</v>
      </c>
      <c r="F12" s="48">
        <f>'Tax Old Regime'!P31</f>
        <v>77206</v>
      </c>
      <c r="DR12" s="5" t="s">
        <v>3</v>
      </c>
    </row>
    <row r="13" spans="1:122" ht="15" customHeight="1">
      <c r="A13" s="98" t="s">
        <v>127</v>
      </c>
      <c r="B13" s="51">
        <v>0</v>
      </c>
      <c r="C13" s="52"/>
      <c r="D13" s="98" t="s">
        <v>148</v>
      </c>
      <c r="E13" s="51">
        <v>0</v>
      </c>
      <c r="F13" s="48"/>
      <c r="DR13" s="5"/>
    </row>
    <row r="14" spans="1:122" ht="15" customHeight="1">
      <c r="A14" s="101" t="s">
        <v>129</v>
      </c>
      <c r="B14" s="55">
        <v>0</v>
      </c>
      <c r="C14" s="54"/>
      <c r="D14" s="104" t="s">
        <v>149</v>
      </c>
      <c r="E14" s="55">
        <v>0</v>
      </c>
      <c r="F14" s="160" t="s">
        <v>156</v>
      </c>
      <c r="DR14" s="5" t="s">
        <v>0</v>
      </c>
    </row>
    <row r="15" spans="1:122" ht="15" customHeight="1">
      <c r="A15" s="98" t="s">
        <v>130</v>
      </c>
      <c r="B15" s="51">
        <v>0</v>
      </c>
      <c r="C15" s="52"/>
      <c r="D15" s="98" t="s">
        <v>150</v>
      </c>
      <c r="E15" s="51">
        <v>0</v>
      </c>
      <c r="F15" s="160"/>
      <c r="DR15" s="5" t="s">
        <v>11</v>
      </c>
    </row>
    <row r="16" spans="1:122" ht="15" customHeight="1">
      <c r="A16" s="101" t="s">
        <v>131</v>
      </c>
      <c r="B16" s="55">
        <v>0</v>
      </c>
      <c r="C16" s="54"/>
      <c r="D16" s="101" t="s">
        <v>151</v>
      </c>
      <c r="E16" s="55">
        <v>0</v>
      </c>
      <c r="F16" s="160"/>
      <c r="DR16" s="5" t="s">
        <v>12</v>
      </c>
    </row>
    <row r="17" spans="1:122" ht="15" customHeight="1">
      <c r="A17" s="98" t="s">
        <v>132</v>
      </c>
      <c r="B17" s="51">
        <v>0</v>
      </c>
      <c r="C17" s="52"/>
      <c r="D17" s="98" t="s">
        <v>152</v>
      </c>
      <c r="E17" s="51">
        <v>0</v>
      </c>
      <c r="F17" s="163">
        <f>IF(B3&gt;=1,(F4*10%+B3),0)</f>
        <v>88051.400000000009</v>
      </c>
      <c r="DR17" s="5" t="s">
        <v>4</v>
      </c>
    </row>
    <row r="18" spans="1:122" ht="15" customHeight="1">
      <c r="A18" s="101" t="s">
        <v>133</v>
      </c>
      <c r="B18" s="55">
        <v>0</v>
      </c>
      <c r="C18" s="54"/>
      <c r="D18" s="101" t="s">
        <v>153</v>
      </c>
      <c r="E18" s="55">
        <v>0</v>
      </c>
      <c r="F18" s="163"/>
      <c r="DR18" s="5" t="s">
        <v>13</v>
      </c>
    </row>
    <row r="19" spans="1:122" ht="15" customHeight="1">
      <c r="A19" s="162" t="str">
        <f>'Tax Old Regime'!A63</f>
        <v>Income Tax Refundable</v>
      </c>
      <c r="B19" s="162"/>
      <c r="C19" s="44"/>
      <c r="D19" s="45">
        <f>'Tax Old Regime'!P63</f>
        <v>25235</v>
      </c>
      <c r="E19" s="56" t="s">
        <v>39</v>
      </c>
      <c r="F19" s="46">
        <f>'Salary Sheet'!I28</f>
        <v>5472</v>
      </c>
      <c r="DR19" s="5" t="s">
        <v>6</v>
      </c>
    </row>
    <row r="20" spans="1:122" ht="15" customHeight="1">
      <c r="A20" s="161" t="str">
        <f>"Total Rebate of (US 80C, 80CCC,80CCD(1)) =  "&amp;'Tax Old Regime'!P31</f>
        <v>Total Rebate of (US 80C, 80CCC,80CCD(1)) =  77206</v>
      </c>
      <c r="B20" s="161"/>
      <c r="C20" s="2"/>
      <c r="D20" s="35" t="str">
        <f>"Investable Amount = "&amp;(150000-'Tax Old Regime'!P31)</f>
        <v>Investable Amount = 72794</v>
      </c>
      <c r="E20" s="2"/>
      <c r="F20" s="2"/>
      <c r="DR20" s="5" t="s">
        <v>10</v>
      </c>
    </row>
    <row r="21" spans="1:122" ht="48" customHeight="1">
      <c r="A21" s="155" t="s">
        <v>168</v>
      </c>
      <c r="B21" s="156"/>
      <c r="C21" s="156"/>
      <c r="D21" s="156"/>
      <c r="E21" s="156"/>
      <c r="F21" s="156"/>
    </row>
    <row r="22" spans="1:122" ht="24.75" customHeight="1">
      <c r="A22" s="154" t="s">
        <v>167</v>
      </c>
      <c r="B22" s="154"/>
      <c r="C22" s="154"/>
      <c r="D22" s="154"/>
      <c r="E22" s="154"/>
      <c r="F22" s="154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9">
    <mergeCell ref="A22:F22"/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3"/>
  <sheetViews>
    <sheetView showGridLines="0" workbookViewId="0">
      <selection activeCell="H27" sqref="H27"/>
    </sheetView>
  </sheetViews>
  <sheetFormatPr defaultColWidth="0" defaultRowHeight="15.75" zeroHeight="1"/>
  <cols>
    <col min="1" max="1" width="4.5703125" style="10" customWidth="1" collapsed="1"/>
    <col min="2" max="2" width="4.5703125" style="9" customWidth="1" collapsed="1"/>
    <col min="3" max="4" width="9.140625" style="9" customWidth="1" collapsed="1"/>
    <col min="5" max="5" width="3.85546875" style="9" customWidth="1" collapsed="1"/>
    <col min="6" max="6" width="5.42578125" style="9" customWidth="1" collapsed="1"/>
    <col min="7" max="7" width="4.5703125" style="9" customWidth="1" collapsed="1"/>
    <col min="8" max="8" width="11.85546875" style="9" customWidth="1" collapsed="1"/>
    <col min="9" max="9" width="5.140625" style="9" customWidth="1" collapsed="1"/>
    <col min="10" max="10" width="11.7109375" style="9" customWidth="1" collapsed="1"/>
    <col min="11" max="11" width="11.42578125" style="9" customWidth="1" collapsed="1"/>
    <col min="12" max="12" width="9.42578125" style="9" customWidth="1" collapsed="1"/>
    <col min="13" max="13" width="4.5703125" style="9" customWidth="1" collapsed="1"/>
    <col min="14" max="14" width="12.7109375" style="9" customWidth="1" collapsed="1"/>
    <col min="15" max="15" width="3.85546875" style="11" customWidth="1" collapsed="1"/>
    <col min="16" max="16" width="19.28515625" style="12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3" customFormat="1" ht="18.75">
      <c r="A1" s="231" t="str">
        <f>'Salary Sheet'!C2</f>
        <v>OFFICE OF THE PRINCIPAL GOVT. HIGHER SECONDARY SCHOOL, GANGIWARA,  CHHINDWARA M.P.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</row>
    <row r="2" spans="1:16" s="13" customFormat="1" ht="21.75" thickBot="1">
      <c r="A2" s="232" t="s">
        <v>119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</row>
    <row r="3" spans="1:16" s="13" customFormat="1" ht="15" customHeight="1">
      <c r="A3" s="79">
        <v>1</v>
      </c>
      <c r="B3" s="233" t="s">
        <v>73</v>
      </c>
      <c r="C3" s="234"/>
      <c r="D3" s="247" t="str">
        <f>'Salary Sheet'!$E$4</f>
        <v>PARMANAND MEGHWAL</v>
      </c>
      <c r="E3" s="247"/>
      <c r="F3" s="247"/>
      <c r="G3" s="247"/>
      <c r="H3" s="247"/>
      <c r="I3" s="247"/>
      <c r="J3" s="74" t="s">
        <v>48</v>
      </c>
      <c r="K3" s="248" t="str">
        <f>'Salary Sheet'!N4</f>
        <v>SENIOR TEACHER</v>
      </c>
      <c r="L3" s="248"/>
      <c r="M3" s="248"/>
      <c r="N3" s="27" t="s">
        <v>17</v>
      </c>
      <c r="O3" s="235" t="str">
        <f>'Salary Sheet'!Z4</f>
        <v>AAAAAAA</v>
      </c>
      <c r="P3" s="236"/>
    </row>
    <row r="4" spans="1:16" s="13" customFormat="1" ht="15" customHeight="1">
      <c r="A4" s="80">
        <v>2</v>
      </c>
      <c r="B4" s="237" t="s">
        <v>74</v>
      </c>
      <c r="C4" s="237"/>
      <c r="D4" s="175"/>
      <c r="E4" s="175"/>
      <c r="F4" s="175"/>
      <c r="G4" s="175"/>
      <c r="H4" s="175"/>
      <c r="I4" s="175"/>
      <c r="J4" s="237"/>
      <c r="K4" s="175"/>
      <c r="L4" s="175"/>
      <c r="M4" s="175"/>
      <c r="N4" s="237"/>
      <c r="O4" s="68" t="s">
        <v>61</v>
      </c>
      <c r="P4" s="21">
        <f>IF('Salary Sheet'!O1="No",'Salary Sheet'!N28,('Salary Sheet'!N28+'Salary Sheet'!O28))</f>
        <v>869748</v>
      </c>
    </row>
    <row r="5" spans="1:16" s="13" customFormat="1" ht="15" customHeight="1">
      <c r="A5" s="80">
        <v>3</v>
      </c>
      <c r="B5" s="238" t="s">
        <v>75</v>
      </c>
      <c r="C5" s="238"/>
      <c r="D5" s="238"/>
      <c r="E5" s="238"/>
      <c r="F5" s="238"/>
      <c r="G5" s="238"/>
      <c r="H5" s="238"/>
      <c r="I5" s="238"/>
      <c r="J5" s="238"/>
      <c r="K5" s="238"/>
      <c r="L5" s="238"/>
      <c r="M5" s="238"/>
      <c r="N5" s="238"/>
      <c r="O5" s="68" t="s">
        <v>61</v>
      </c>
      <c r="P5" s="22">
        <f>'Other Deduction'!B3</f>
        <v>9240</v>
      </c>
    </row>
    <row r="6" spans="1:16" s="13" customFormat="1" ht="15" customHeight="1">
      <c r="A6" s="80">
        <v>4</v>
      </c>
      <c r="B6" s="239" t="s">
        <v>18</v>
      </c>
      <c r="C6" s="239"/>
      <c r="D6" s="239"/>
      <c r="E6" s="239"/>
      <c r="F6" s="239"/>
      <c r="G6" s="239"/>
      <c r="H6" s="239"/>
      <c r="I6" s="239"/>
      <c r="J6" s="239"/>
      <c r="K6" s="239"/>
      <c r="L6" s="239"/>
      <c r="M6" s="239"/>
      <c r="N6" s="239"/>
      <c r="O6" s="68" t="s">
        <v>61</v>
      </c>
      <c r="P6" s="22">
        <f>P4-P5</f>
        <v>860508</v>
      </c>
    </row>
    <row r="7" spans="1:16" s="13" customFormat="1" ht="15" customHeight="1">
      <c r="A7" s="172">
        <v>5</v>
      </c>
      <c r="B7" s="243" t="s">
        <v>82</v>
      </c>
      <c r="C7" s="244"/>
      <c r="D7" s="244"/>
      <c r="E7" s="244"/>
      <c r="F7" s="244"/>
      <c r="G7" s="244"/>
      <c r="H7" s="244"/>
      <c r="I7" s="244"/>
      <c r="J7" s="244"/>
      <c r="K7" s="244"/>
      <c r="L7" s="245">
        <f>'Other Deduction'!B4</f>
        <v>0</v>
      </c>
      <c r="M7" s="245"/>
      <c r="N7" s="245"/>
      <c r="O7" s="220"/>
      <c r="P7" s="252"/>
    </row>
    <row r="8" spans="1:16" s="13" customFormat="1" ht="15" customHeight="1">
      <c r="A8" s="173"/>
      <c r="B8" s="194" t="s">
        <v>83</v>
      </c>
      <c r="C8" s="195"/>
      <c r="D8" s="195"/>
      <c r="E8" s="195"/>
      <c r="F8" s="195"/>
      <c r="G8" s="195"/>
      <c r="H8" s="195"/>
      <c r="I8" s="195"/>
      <c r="J8" s="195"/>
      <c r="K8" s="195"/>
      <c r="L8" s="245">
        <f>'Other Deduction'!B5</f>
        <v>0</v>
      </c>
      <c r="M8" s="245"/>
      <c r="N8" s="245"/>
      <c r="O8" s="222"/>
      <c r="P8" s="253"/>
    </row>
    <row r="9" spans="1:16" s="13" customFormat="1" ht="15" customHeight="1">
      <c r="A9" s="173"/>
      <c r="B9" s="194" t="s">
        <v>182</v>
      </c>
      <c r="C9" s="195"/>
      <c r="D9" s="195"/>
      <c r="E9" s="195"/>
      <c r="F9" s="195"/>
      <c r="G9" s="195"/>
      <c r="H9" s="195"/>
      <c r="I9" s="195"/>
      <c r="J9" s="195"/>
      <c r="K9" s="196"/>
      <c r="L9" s="249">
        <f>'Salary Sheet'!Q28</f>
        <v>2500</v>
      </c>
      <c r="M9" s="250"/>
      <c r="N9" s="251"/>
      <c r="O9" s="224"/>
      <c r="P9" s="254"/>
    </row>
    <row r="10" spans="1:16" s="13" customFormat="1" ht="15" customHeight="1">
      <c r="A10" s="174"/>
      <c r="B10" s="246" t="s">
        <v>181</v>
      </c>
      <c r="C10" s="244"/>
      <c r="D10" s="244"/>
      <c r="E10" s="244"/>
      <c r="F10" s="244"/>
      <c r="G10" s="244"/>
      <c r="H10" s="244"/>
      <c r="I10" s="244"/>
      <c r="J10" s="244"/>
      <c r="K10" s="244"/>
      <c r="L10" s="245">
        <f>IF(P6&lt;50000,P6,50000)</f>
        <v>50000</v>
      </c>
      <c r="M10" s="245"/>
      <c r="N10" s="245"/>
      <c r="O10" s="68" t="s">
        <v>61</v>
      </c>
      <c r="P10" s="22">
        <f>SUM(L7:N10)</f>
        <v>52500</v>
      </c>
    </row>
    <row r="11" spans="1:16" s="13" customFormat="1" ht="15" customHeight="1">
      <c r="A11" s="80">
        <v>6</v>
      </c>
      <c r="B11" s="240" t="s">
        <v>76</v>
      </c>
      <c r="C11" s="241"/>
      <c r="D11" s="241"/>
      <c r="E11" s="241"/>
      <c r="F11" s="241"/>
      <c r="G11" s="241"/>
      <c r="H11" s="241"/>
      <c r="I11" s="241"/>
      <c r="J11" s="241"/>
      <c r="K11" s="241"/>
      <c r="L11" s="241"/>
      <c r="M11" s="241"/>
      <c r="N11" s="242"/>
      <c r="O11" s="68" t="s">
        <v>61</v>
      </c>
      <c r="P11" s="22">
        <f>P6-P10</f>
        <v>808008</v>
      </c>
    </row>
    <row r="12" spans="1:16" s="13" customFormat="1" ht="15" customHeight="1">
      <c r="A12" s="279">
        <v>7</v>
      </c>
      <c r="B12" s="175" t="s">
        <v>77</v>
      </c>
      <c r="C12" s="175"/>
      <c r="D12" s="175"/>
      <c r="E12" s="175"/>
      <c r="F12" s="175"/>
      <c r="G12" s="175"/>
      <c r="H12" s="175"/>
      <c r="I12" s="175"/>
      <c r="J12" s="261" t="s">
        <v>78</v>
      </c>
      <c r="K12" s="261"/>
      <c r="L12" s="245">
        <f>'Other Deduction'!B6</f>
        <v>0</v>
      </c>
      <c r="M12" s="245"/>
      <c r="N12" s="245"/>
      <c r="O12" s="256"/>
      <c r="P12" s="257"/>
    </row>
    <row r="13" spans="1:16" s="13" customFormat="1" ht="27.75" customHeight="1">
      <c r="A13" s="279"/>
      <c r="B13" s="283" t="s">
        <v>80</v>
      </c>
      <c r="C13" s="284"/>
      <c r="D13" s="280" t="s">
        <v>79</v>
      </c>
      <c r="E13" s="281"/>
      <c r="F13" s="282"/>
      <c r="G13" s="258" t="s">
        <v>81</v>
      </c>
      <c r="H13" s="259"/>
      <c r="I13" s="260"/>
      <c r="J13" s="261" t="s">
        <v>84</v>
      </c>
      <c r="K13" s="261"/>
      <c r="L13" s="261" t="s">
        <v>47</v>
      </c>
      <c r="M13" s="261"/>
      <c r="N13" s="261"/>
      <c r="O13" s="256"/>
      <c r="P13" s="257"/>
    </row>
    <row r="14" spans="1:16" s="13" customFormat="1" ht="15" customHeight="1">
      <c r="A14" s="279"/>
      <c r="B14" s="285"/>
      <c r="C14" s="286"/>
      <c r="D14" s="249">
        <f>ROUND(L12*0.3,0)</f>
        <v>0</v>
      </c>
      <c r="E14" s="250"/>
      <c r="F14" s="251"/>
      <c r="G14" s="249">
        <f>IF(('Salary Sheet'!U28+'Other Deduction'!B9)&gt;200000,200000,('Salary Sheet'!U28+'Other Deduction'!B9))</f>
        <v>0</v>
      </c>
      <c r="H14" s="250"/>
      <c r="I14" s="251"/>
      <c r="J14" s="245">
        <f>'Other Deduction'!B7</f>
        <v>0</v>
      </c>
      <c r="K14" s="245"/>
      <c r="L14" s="245">
        <f>D14+G14+J14</f>
        <v>0</v>
      </c>
      <c r="M14" s="245"/>
      <c r="N14" s="245"/>
      <c r="O14" s="256"/>
      <c r="P14" s="257"/>
    </row>
    <row r="15" spans="1:16" s="13" customFormat="1" ht="15" customHeight="1">
      <c r="A15" s="80"/>
      <c r="B15" s="240" t="s">
        <v>85</v>
      </c>
      <c r="C15" s="241"/>
      <c r="D15" s="241"/>
      <c r="E15" s="241"/>
      <c r="F15" s="241"/>
      <c r="G15" s="241"/>
      <c r="H15" s="241"/>
      <c r="I15" s="241"/>
      <c r="J15" s="241"/>
      <c r="K15" s="241"/>
      <c r="L15" s="241"/>
      <c r="M15" s="241"/>
      <c r="N15" s="242"/>
      <c r="O15" s="68" t="s">
        <v>61</v>
      </c>
      <c r="P15" s="22">
        <f>L12-L14</f>
        <v>0</v>
      </c>
    </row>
    <row r="16" spans="1:16" s="13" customFormat="1" ht="15" customHeight="1">
      <c r="A16" s="80">
        <v>8</v>
      </c>
      <c r="B16" s="240" t="s">
        <v>86</v>
      </c>
      <c r="C16" s="241"/>
      <c r="D16" s="241"/>
      <c r="E16" s="241"/>
      <c r="F16" s="241"/>
      <c r="G16" s="241"/>
      <c r="H16" s="241"/>
      <c r="I16" s="241"/>
      <c r="J16" s="241"/>
      <c r="K16" s="241"/>
      <c r="L16" s="241"/>
      <c r="M16" s="241"/>
      <c r="N16" s="242"/>
      <c r="O16" s="68" t="s">
        <v>61</v>
      </c>
      <c r="P16" s="22">
        <f>P11+P15</f>
        <v>808008</v>
      </c>
    </row>
    <row r="17" spans="1:16" s="13" customFormat="1" ht="15" customHeight="1">
      <c r="A17" s="80">
        <v>9</v>
      </c>
      <c r="B17" s="175" t="s">
        <v>87</v>
      </c>
      <c r="C17" s="175"/>
      <c r="D17" s="175"/>
      <c r="E17" s="175"/>
      <c r="F17" s="175"/>
      <c r="G17" s="175"/>
      <c r="H17" s="175"/>
      <c r="I17" s="175"/>
      <c r="J17" s="175"/>
      <c r="K17" s="175"/>
      <c r="L17" s="175"/>
      <c r="M17" s="175"/>
      <c r="N17" s="175"/>
      <c r="O17" s="68" t="s">
        <v>61</v>
      </c>
      <c r="P17" s="22">
        <f>'Other Deduction'!E3+'Other Deduction'!E4</f>
        <v>0</v>
      </c>
    </row>
    <row r="18" spans="1:16" s="13" customFormat="1" ht="15" customHeight="1">
      <c r="A18" s="80">
        <v>10</v>
      </c>
      <c r="B18" s="175" t="s">
        <v>88</v>
      </c>
      <c r="C18" s="175"/>
      <c r="D18" s="175"/>
      <c r="E18" s="175"/>
      <c r="F18" s="175"/>
      <c r="G18" s="175"/>
      <c r="H18" s="175"/>
      <c r="I18" s="175"/>
      <c r="J18" s="175"/>
      <c r="K18" s="175"/>
      <c r="L18" s="175"/>
      <c r="M18" s="175"/>
      <c r="N18" s="175"/>
      <c r="O18" s="68" t="s">
        <v>61</v>
      </c>
      <c r="P18" s="21">
        <f>P16+P17</f>
        <v>808008</v>
      </c>
    </row>
    <row r="19" spans="1:16" s="13" customFormat="1" ht="15" customHeight="1">
      <c r="A19" s="172">
        <v>11</v>
      </c>
      <c r="B19" s="197" t="s">
        <v>89</v>
      </c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197"/>
      <c r="P19" s="264"/>
    </row>
    <row r="20" spans="1:16" s="13" customFormat="1" ht="18" customHeight="1">
      <c r="A20" s="173"/>
      <c r="B20" s="197" t="s">
        <v>139</v>
      </c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197"/>
      <c r="P20" s="264"/>
    </row>
    <row r="21" spans="1:16" s="13" customFormat="1" ht="14.25" customHeight="1">
      <c r="A21" s="173"/>
      <c r="B21" s="67">
        <v>1</v>
      </c>
      <c r="C21" s="226" t="s">
        <v>137</v>
      </c>
      <c r="D21" s="227"/>
      <c r="E21" s="227"/>
      <c r="F21" s="227"/>
      <c r="G21" s="68" t="s">
        <v>61</v>
      </c>
      <c r="H21" s="69">
        <f>IF('Salary Sheet'!O1&lt;&gt;"No",'Salary Sheet'!O28,0)</f>
        <v>76162</v>
      </c>
      <c r="I21" s="67">
        <v>10</v>
      </c>
      <c r="J21" s="208" t="s">
        <v>60</v>
      </c>
      <c r="K21" s="209"/>
      <c r="L21" s="210"/>
      <c r="M21" s="68" t="s">
        <v>61</v>
      </c>
      <c r="N21" s="69">
        <f>'Other Deduction'!E6</f>
        <v>0</v>
      </c>
      <c r="O21" s="220"/>
      <c r="P21" s="221"/>
    </row>
    <row r="22" spans="1:16" s="13" customFormat="1" ht="26.25" customHeight="1">
      <c r="A22" s="173"/>
      <c r="B22" s="67">
        <v>2</v>
      </c>
      <c r="C22" s="226" t="s">
        <v>56</v>
      </c>
      <c r="D22" s="227"/>
      <c r="E22" s="227"/>
      <c r="F22" s="227"/>
      <c r="G22" s="68" t="s">
        <v>61</v>
      </c>
      <c r="H22" s="69">
        <f>'Salary Sheet'!R28+'Other Deduction'!B10</f>
        <v>0</v>
      </c>
      <c r="I22" s="67">
        <v>11</v>
      </c>
      <c r="J22" s="228" t="s">
        <v>62</v>
      </c>
      <c r="K22" s="229"/>
      <c r="L22" s="230"/>
      <c r="M22" s="68" t="s">
        <v>61</v>
      </c>
      <c r="N22" s="70">
        <f>'Other Deduction'!B15</f>
        <v>0</v>
      </c>
      <c r="O22" s="222"/>
      <c r="P22" s="223"/>
    </row>
    <row r="23" spans="1:16" s="13" customFormat="1" ht="14.25" customHeight="1">
      <c r="A23" s="173"/>
      <c r="B23" s="67">
        <v>3</v>
      </c>
      <c r="C23" s="226" t="s">
        <v>57</v>
      </c>
      <c r="D23" s="227"/>
      <c r="E23" s="227"/>
      <c r="F23" s="227"/>
      <c r="G23" s="68" t="s">
        <v>61</v>
      </c>
      <c r="H23" s="69">
        <f>'Other Deduction'!B14</f>
        <v>0</v>
      </c>
      <c r="I23" s="67">
        <v>12</v>
      </c>
      <c r="J23" s="228" t="s">
        <v>63</v>
      </c>
      <c r="K23" s="229"/>
      <c r="L23" s="230"/>
      <c r="M23" s="68" t="s">
        <v>61</v>
      </c>
      <c r="N23" s="70">
        <f>'Other Deduction'!B12</f>
        <v>0</v>
      </c>
      <c r="O23" s="222"/>
      <c r="P23" s="223"/>
    </row>
    <row r="24" spans="1:16" s="13" customFormat="1" ht="15" customHeight="1">
      <c r="A24" s="173"/>
      <c r="B24" s="67">
        <v>4</v>
      </c>
      <c r="C24" s="226" t="s">
        <v>69</v>
      </c>
      <c r="D24" s="227"/>
      <c r="E24" s="227"/>
      <c r="F24" s="227"/>
      <c r="G24" s="68" t="s">
        <v>61</v>
      </c>
      <c r="H24" s="69">
        <f>'Other Deduction'!B16</f>
        <v>0</v>
      </c>
      <c r="I24" s="67">
        <v>13</v>
      </c>
      <c r="J24" s="228" t="s">
        <v>64</v>
      </c>
      <c r="K24" s="229"/>
      <c r="L24" s="230"/>
      <c r="M24" s="68" t="s">
        <v>61</v>
      </c>
      <c r="N24" s="69">
        <f>'Other Deduction'!E15</f>
        <v>0</v>
      </c>
      <c r="O24" s="222"/>
      <c r="P24" s="223"/>
    </row>
    <row r="25" spans="1:16" s="13" customFormat="1" ht="15.75" customHeight="1">
      <c r="A25" s="173"/>
      <c r="B25" s="67">
        <v>5</v>
      </c>
      <c r="C25" s="226" t="s">
        <v>70</v>
      </c>
      <c r="D25" s="227"/>
      <c r="E25" s="227"/>
      <c r="F25" s="227"/>
      <c r="G25" s="68" t="s">
        <v>61</v>
      </c>
      <c r="H25" s="69">
        <f>'Other Deduction'!B17</f>
        <v>0</v>
      </c>
      <c r="I25" s="67">
        <v>14</v>
      </c>
      <c r="J25" s="208" t="s">
        <v>65</v>
      </c>
      <c r="K25" s="287"/>
      <c r="L25" s="288"/>
      <c r="M25" s="68" t="s">
        <v>61</v>
      </c>
      <c r="N25" s="69">
        <f>'Other Deduction'!E16</f>
        <v>0</v>
      </c>
      <c r="O25" s="222"/>
      <c r="P25" s="223"/>
    </row>
    <row r="26" spans="1:16" s="13" customFormat="1" ht="15.75" customHeight="1">
      <c r="A26" s="173"/>
      <c r="B26" s="67">
        <v>6</v>
      </c>
      <c r="C26" s="213" t="s">
        <v>128</v>
      </c>
      <c r="D26" s="262"/>
      <c r="E26" s="262"/>
      <c r="F26" s="263"/>
      <c r="G26" s="68" t="s">
        <v>61</v>
      </c>
      <c r="H26" s="69">
        <f>IF('Salary Sheet'!O1&lt;&gt;"Yes",'Salary Sheet'!O28,0)</f>
        <v>0</v>
      </c>
      <c r="I26" s="67">
        <v>15</v>
      </c>
      <c r="J26" s="208" t="s">
        <v>66</v>
      </c>
      <c r="K26" s="287"/>
      <c r="L26" s="288"/>
      <c r="M26" s="68" t="s">
        <v>61</v>
      </c>
      <c r="N26" s="69">
        <f>'Other Deduction'!B11</f>
        <v>0</v>
      </c>
      <c r="O26" s="222"/>
      <c r="P26" s="223"/>
    </row>
    <row r="27" spans="1:16" s="13" customFormat="1" ht="15" customHeight="1">
      <c r="A27" s="173"/>
      <c r="B27" s="67">
        <v>7</v>
      </c>
      <c r="C27" s="213" t="s">
        <v>58</v>
      </c>
      <c r="D27" s="262"/>
      <c r="E27" s="262"/>
      <c r="F27" s="263"/>
      <c r="G27" s="68" t="s">
        <v>61</v>
      </c>
      <c r="H27" s="70">
        <f>'Salary Sheet'!P28</f>
        <v>1044</v>
      </c>
      <c r="I27" s="67">
        <v>16</v>
      </c>
      <c r="J27" s="208" t="s">
        <v>67</v>
      </c>
      <c r="K27" s="209"/>
      <c r="L27" s="210"/>
      <c r="M27" s="68" t="s">
        <v>61</v>
      </c>
      <c r="N27" s="69">
        <f>'Other Deduction'!E5</f>
        <v>0</v>
      </c>
      <c r="O27" s="222"/>
      <c r="P27" s="223"/>
    </row>
    <row r="28" spans="1:16" s="13" customFormat="1" ht="15.75" customHeight="1">
      <c r="A28" s="173"/>
      <c r="B28" s="67">
        <v>8</v>
      </c>
      <c r="C28" s="226" t="s">
        <v>59</v>
      </c>
      <c r="D28" s="226"/>
      <c r="E28" s="226"/>
      <c r="F28" s="226"/>
      <c r="G28" s="68" t="s">
        <v>61</v>
      </c>
      <c r="H28" s="70">
        <f>'Other Deduction'!B13</f>
        <v>0</v>
      </c>
      <c r="I28" s="67">
        <v>17</v>
      </c>
      <c r="J28" s="228" t="s">
        <v>68</v>
      </c>
      <c r="K28" s="229"/>
      <c r="L28" s="230"/>
      <c r="M28" s="68" t="s">
        <v>61</v>
      </c>
      <c r="N28" s="69">
        <f>'Other Deduction'!B18</f>
        <v>0</v>
      </c>
      <c r="O28" s="222"/>
      <c r="P28" s="223"/>
    </row>
    <row r="29" spans="1:16" s="13" customFormat="1" ht="27" customHeight="1">
      <c r="A29" s="173"/>
      <c r="B29" s="71">
        <v>9</v>
      </c>
      <c r="C29" s="206" t="s">
        <v>170</v>
      </c>
      <c r="D29" s="206"/>
      <c r="E29" s="206"/>
      <c r="F29" s="206"/>
      <c r="G29" s="72" t="s">
        <v>61</v>
      </c>
      <c r="H29" s="73">
        <f>'Other Deduction'!B8</f>
        <v>0</v>
      </c>
      <c r="I29" s="71">
        <v>18</v>
      </c>
      <c r="J29" s="268"/>
      <c r="K29" s="268"/>
      <c r="L29" s="268"/>
      <c r="M29" s="72" t="s">
        <v>61</v>
      </c>
      <c r="N29" s="69"/>
      <c r="O29" s="222"/>
      <c r="P29" s="223"/>
    </row>
    <row r="30" spans="1:16" s="13" customFormat="1" ht="15" customHeight="1">
      <c r="A30" s="173"/>
      <c r="B30" s="265" t="s">
        <v>72</v>
      </c>
      <c r="C30" s="266"/>
      <c r="D30" s="266"/>
      <c r="E30" s="266"/>
      <c r="F30" s="266"/>
      <c r="G30" s="266"/>
      <c r="H30" s="266"/>
      <c r="I30" s="266"/>
      <c r="J30" s="266"/>
      <c r="K30" s="266"/>
      <c r="L30" s="267"/>
      <c r="M30" s="72" t="s">
        <v>61</v>
      </c>
      <c r="N30" s="14">
        <f>SUM(H21:H29)+SUM(N21:N29)</f>
        <v>77206</v>
      </c>
      <c r="O30" s="224"/>
      <c r="P30" s="225"/>
    </row>
    <row r="31" spans="1:16" s="13" customFormat="1" ht="16.5" customHeight="1">
      <c r="A31" s="173"/>
      <c r="B31" s="207" t="s">
        <v>71</v>
      </c>
      <c r="C31" s="207"/>
      <c r="D31" s="207"/>
      <c r="E31" s="207"/>
      <c r="F31" s="207"/>
      <c r="G31" s="207"/>
      <c r="H31" s="207"/>
      <c r="I31" s="207"/>
      <c r="J31" s="207"/>
      <c r="K31" s="207"/>
      <c r="L31" s="207"/>
      <c r="M31" s="207"/>
      <c r="N31" s="207"/>
      <c r="O31" s="77" t="s">
        <v>61</v>
      </c>
      <c r="P31" s="21">
        <f>IF(N30&lt;150001,ROUND(N30,0),150000)</f>
        <v>77206</v>
      </c>
    </row>
    <row r="32" spans="1:16" s="13" customFormat="1" ht="17.25" customHeight="1">
      <c r="A32" s="103"/>
      <c r="B32" s="273" t="s">
        <v>140</v>
      </c>
      <c r="C32" s="274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5"/>
      <c r="O32" s="77" t="s">
        <v>61</v>
      </c>
      <c r="P32" s="21">
        <f>IF('Salary Sheet'!O1="Yes",'Salary Sheet'!O28,0)</f>
        <v>76162</v>
      </c>
    </row>
    <row r="33" spans="1:16" s="13" customFormat="1" ht="15" customHeight="1">
      <c r="A33" s="103"/>
      <c r="B33" s="270" t="s">
        <v>141</v>
      </c>
      <c r="C33" s="271"/>
      <c r="D33" s="271"/>
      <c r="E33" s="271"/>
      <c r="F33" s="271"/>
      <c r="G33" s="271"/>
      <c r="H33" s="271"/>
      <c r="I33" s="271"/>
      <c r="J33" s="271"/>
      <c r="K33" s="271"/>
      <c r="L33" s="271"/>
      <c r="M33" s="271"/>
      <c r="N33" s="272"/>
      <c r="O33" s="77" t="s">
        <v>61</v>
      </c>
      <c r="P33" s="21">
        <f>'Other Deduction'!E7</f>
        <v>50000</v>
      </c>
    </row>
    <row r="34" spans="1:16" s="13" customFormat="1" ht="15" customHeight="1">
      <c r="A34" s="103"/>
      <c r="B34" s="276" t="s">
        <v>142</v>
      </c>
      <c r="C34" s="277"/>
      <c r="D34" s="277"/>
      <c r="E34" s="277"/>
      <c r="F34" s="277"/>
      <c r="G34" s="277"/>
      <c r="H34" s="277"/>
      <c r="I34" s="277"/>
      <c r="J34" s="277"/>
      <c r="K34" s="277"/>
      <c r="L34" s="277"/>
      <c r="M34" s="277"/>
      <c r="N34" s="278"/>
      <c r="O34" s="77"/>
      <c r="P34" s="21">
        <f>P31+P32+P33</f>
        <v>203368</v>
      </c>
    </row>
    <row r="35" spans="1:16" s="13" customFormat="1" ht="15" customHeight="1">
      <c r="A35" s="172">
        <v>12</v>
      </c>
      <c r="B35" s="211" t="s">
        <v>90</v>
      </c>
      <c r="C35" s="211"/>
      <c r="D35" s="211"/>
      <c r="E35" s="211"/>
      <c r="F35" s="211"/>
      <c r="G35" s="211"/>
      <c r="H35" s="211"/>
      <c r="I35" s="211"/>
      <c r="J35" s="211"/>
      <c r="K35" s="211"/>
      <c r="L35" s="211"/>
      <c r="M35" s="211"/>
      <c r="N35" s="211"/>
      <c r="O35" s="211"/>
      <c r="P35" s="212"/>
    </row>
    <row r="36" spans="1:16" s="13" customFormat="1" ht="27.75" customHeight="1">
      <c r="A36" s="173"/>
      <c r="B36" s="213" t="s">
        <v>91</v>
      </c>
      <c r="C36" s="214"/>
      <c r="D36" s="214"/>
      <c r="E36" s="214"/>
      <c r="F36" s="214"/>
      <c r="G36" s="214"/>
      <c r="H36" s="214"/>
      <c r="I36" s="214"/>
      <c r="J36" s="214"/>
      <c r="K36" s="214"/>
      <c r="L36" s="214"/>
      <c r="M36" s="214"/>
      <c r="N36" s="215"/>
      <c r="O36" s="77" t="s">
        <v>61</v>
      </c>
      <c r="P36" s="22">
        <f>'Other Deduction'!E8</f>
        <v>0</v>
      </c>
    </row>
    <row r="37" spans="1:16" s="13" customFormat="1" ht="17.25" customHeight="1">
      <c r="A37" s="173"/>
      <c r="B37" s="216" t="s">
        <v>163</v>
      </c>
      <c r="C37" s="216"/>
      <c r="D37" s="216"/>
      <c r="E37" s="216"/>
      <c r="F37" s="216"/>
      <c r="G37" s="216"/>
      <c r="H37" s="216"/>
      <c r="I37" s="216"/>
      <c r="J37" s="216"/>
      <c r="K37" s="216"/>
      <c r="L37" s="216"/>
      <c r="M37" s="216"/>
      <c r="N37" s="216"/>
      <c r="O37" s="77" t="s">
        <v>61</v>
      </c>
      <c r="P37" s="22">
        <f>'Other Deduction'!E9</f>
        <v>0</v>
      </c>
    </row>
    <row r="38" spans="1:16" s="13" customFormat="1" ht="18" customHeight="1">
      <c r="A38" s="173"/>
      <c r="B38" s="216" t="s">
        <v>162</v>
      </c>
      <c r="C38" s="216"/>
      <c r="D38" s="216"/>
      <c r="E38" s="216"/>
      <c r="F38" s="216"/>
      <c r="G38" s="216"/>
      <c r="H38" s="216"/>
      <c r="I38" s="216"/>
      <c r="J38" s="216"/>
      <c r="K38" s="216"/>
      <c r="L38" s="216"/>
      <c r="M38" s="216"/>
      <c r="N38" s="216"/>
      <c r="O38" s="77" t="s">
        <v>61</v>
      </c>
      <c r="P38" s="22">
        <f>'Other Deduction'!E10</f>
        <v>0</v>
      </c>
    </row>
    <row r="39" spans="1:16" s="13" customFormat="1" ht="16.5" customHeight="1">
      <c r="A39" s="173"/>
      <c r="B39" s="216" t="s">
        <v>161</v>
      </c>
      <c r="C39" s="216"/>
      <c r="D39" s="216"/>
      <c r="E39" s="216"/>
      <c r="F39" s="216"/>
      <c r="G39" s="216"/>
      <c r="H39" s="216"/>
      <c r="I39" s="216"/>
      <c r="J39" s="216"/>
      <c r="K39" s="216"/>
      <c r="L39" s="216"/>
      <c r="M39" s="216"/>
      <c r="N39" s="216"/>
      <c r="O39" s="77" t="s">
        <v>61</v>
      </c>
      <c r="P39" s="22">
        <f>'Other Deduction'!E11</f>
        <v>0</v>
      </c>
    </row>
    <row r="40" spans="1:16" s="13" customFormat="1" ht="16.5" customHeight="1">
      <c r="A40" s="173"/>
      <c r="B40" s="216" t="s">
        <v>160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77" t="s">
        <v>61</v>
      </c>
      <c r="P40" s="22">
        <f>'Other Deduction'!E12</f>
        <v>0</v>
      </c>
    </row>
    <row r="41" spans="1:16" s="13" customFormat="1" ht="15" customHeight="1">
      <c r="A41" s="173"/>
      <c r="B41" s="213" t="s">
        <v>159</v>
      </c>
      <c r="C41" s="214"/>
      <c r="D41" s="214"/>
      <c r="E41" s="214"/>
      <c r="F41" s="214"/>
      <c r="G41" s="214"/>
      <c r="H41" s="214"/>
      <c r="I41" s="214"/>
      <c r="J41" s="214"/>
      <c r="K41" s="214"/>
      <c r="L41" s="214"/>
      <c r="M41" s="214"/>
      <c r="N41" s="215"/>
      <c r="O41" s="77" t="s">
        <v>61</v>
      </c>
      <c r="P41" s="22">
        <f>'Other Deduction'!E13</f>
        <v>0</v>
      </c>
    </row>
    <row r="42" spans="1:16" s="13" customFormat="1" ht="17.25" customHeight="1">
      <c r="A42" s="173"/>
      <c r="B42" s="217" t="s">
        <v>158</v>
      </c>
      <c r="C42" s="218"/>
      <c r="D42" s="218"/>
      <c r="E42" s="218"/>
      <c r="F42" s="218"/>
      <c r="G42" s="218"/>
      <c r="H42" s="218"/>
      <c r="I42" s="218"/>
      <c r="J42" s="218"/>
      <c r="K42" s="218"/>
      <c r="L42" s="218"/>
      <c r="M42" s="218"/>
      <c r="N42" s="219"/>
      <c r="O42" s="77" t="s">
        <v>61</v>
      </c>
      <c r="P42" s="22">
        <f>IF('Salary Sheet'!E1&lt;&gt;"Yes",IF('Other Deduction'!E3&lt;50001,'Other Deduction'!E3,50000),IF('Other Deduction'!E3&lt;10001,'Other Deduction'!E3,10000))</f>
        <v>0</v>
      </c>
    </row>
    <row r="43" spans="1:16" s="13" customFormat="1" ht="15.75" customHeight="1">
      <c r="A43" s="173"/>
      <c r="B43" s="217" t="s">
        <v>157</v>
      </c>
      <c r="C43" s="218"/>
      <c r="D43" s="218"/>
      <c r="E43" s="218"/>
      <c r="F43" s="218"/>
      <c r="G43" s="218"/>
      <c r="H43" s="218"/>
      <c r="I43" s="218"/>
      <c r="J43" s="218"/>
      <c r="K43" s="218"/>
      <c r="L43" s="218"/>
      <c r="M43" s="218"/>
      <c r="N43" s="219"/>
      <c r="O43" s="77" t="s">
        <v>61</v>
      </c>
      <c r="P43" s="22">
        <f>'Other Deduction'!E14</f>
        <v>0</v>
      </c>
    </row>
    <row r="44" spans="1:16" s="13" customFormat="1" ht="15" customHeight="1">
      <c r="A44" s="174"/>
      <c r="B44" s="207" t="s">
        <v>92</v>
      </c>
      <c r="C44" s="207"/>
      <c r="D44" s="207"/>
      <c r="E44" s="207"/>
      <c r="F44" s="207"/>
      <c r="G44" s="207"/>
      <c r="H44" s="207"/>
      <c r="I44" s="207"/>
      <c r="J44" s="207"/>
      <c r="K44" s="207"/>
      <c r="L44" s="207"/>
      <c r="M44" s="207"/>
      <c r="N44" s="207"/>
      <c r="O44" s="77" t="s">
        <v>61</v>
      </c>
      <c r="P44" s="23">
        <f>SUM(P36:P43)</f>
        <v>0</v>
      </c>
    </row>
    <row r="45" spans="1:16" s="13" customFormat="1" ht="15" customHeight="1">
      <c r="A45" s="80">
        <v>13</v>
      </c>
      <c r="B45" s="197" t="s">
        <v>93</v>
      </c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77" t="s">
        <v>61</v>
      </c>
      <c r="P45" s="22">
        <f>P34+P44</f>
        <v>203368</v>
      </c>
    </row>
    <row r="46" spans="1:16" s="13" customFormat="1" ht="15" customHeight="1">
      <c r="A46" s="80">
        <v>14</v>
      </c>
      <c r="B46" s="175" t="s">
        <v>94</v>
      </c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77" t="s">
        <v>61</v>
      </c>
      <c r="P46" s="22">
        <f>(P18-P45)</f>
        <v>604640</v>
      </c>
    </row>
    <row r="47" spans="1:16" s="13" customFormat="1">
      <c r="A47" s="80">
        <v>15</v>
      </c>
      <c r="B47" s="197" t="s">
        <v>95</v>
      </c>
      <c r="C47" s="197"/>
      <c r="D47" s="197"/>
      <c r="E47" s="197"/>
      <c r="F47" s="197"/>
      <c r="G47" s="197"/>
      <c r="H47" s="197"/>
      <c r="I47" s="197"/>
      <c r="J47" s="197"/>
      <c r="K47" s="197"/>
      <c r="L47" s="197"/>
      <c r="M47" s="197"/>
      <c r="N47" s="197"/>
      <c r="O47" s="77" t="s">
        <v>61</v>
      </c>
      <c r="P47" s="21">
        <f>ROUND(P46,-1)</f>
        <v>604640</v>
      </c>
    </row>
    <row r="48" spans="1:16" s="13" customFormat="1" ht="15" customHeight="1">
      <c r="A48" s="172">
        <v>16</v>
      </c>
      <c r="B48" s="175" t="s">
        <v>96</v>
      </c>
      <c r="C48" s="175"/>
      <c r="D48" s="175"/>
      <c r="E48" s="175"/>
      <c r="F48" s="175"/>
      <c r="G48" s="175"/>
      <c r="H48" s="175"/>
      <c r="I48" s="175"/>
      <c r="J48" s="175"/>
      <c r="K48" s="175"/>
      <c r="L48" s="175"/>
      <c r="M48" s="175"/>
      <c r="N48" s="175"/>
      <c r="O48" s="175"/>
      <c r="P48" s="176"/>
    </row>
    <row r="49" spans="1:16" s="13" customFormat="1" ht="15" customHeight="1">
      <c r="A49" s="173"/>
      <c r="B49" s="177" t="s">
        <v>98</v>
      </c>
      <c r="C49" s="177"/>
      <c r="D49" s="177"/>
      <c r="E49" s="177"/>
      <c r="F49" s="177"/>
      <c r="G49" s="177" t="s">
        <v>97</v>
      </c>
      <c r="H49" s="177"/>
      <c r="I49" s="177"/>
      <c r="J49" s="177"/>
      <c r="K49" s="178" t="s">
        <v>99</v>
      </c>
      <c r="L49" s="179"/>
      <c r="M49" s="179"/>
      <c r="N49" s="180"/>
      <c r="O49" s="8"/>
      <c r="P49" s="24"/>
    </row>
    <row r="50" spans="1:16" s="13" customFormat="1" ht="15" customHeight="1">
      <c r="A50" s="173"/>
      <c r="B50" s="181" t="s">
        <v>100</v>
      </c>
      <c r="C50" s="182"/>
      <c r="D50" s="183"/>
      <c r="E50" s="185" t="s">
        <v>19</v>
      </c>
      <c r="F50" s="185"/>
      <c r="G50" s="181" t="s">
        <v>102</v>
      </c>
      <c r="H50" s="182"/>
      <c r="I50" s="183"/>
      <c r="J50" s="76" t="s">
        <v>19</v>
      </c>
      <c r="K50" s="181"/>
      <c r="L50" s="182"/>
      <c r="M50" s="183"/>
      <c r="N50" s="76"/>
      <c r="O50" s="77" t="s">
        <v>61</v>
      </c>
      <c r="P50" s="25">
        <v>0</v>
      </c>
    </row>
    <row r="51" spans="1:16" s="13" customFormat="1" ht="15" customHeight="1">
      <c r="A51" s="173"/>
      <c r="B51" s="181" t="s">
        <v>20</v>
      </c>
      <c r="C51" s="182"/>
      <c r="D51" s="183"/>
      <c r="E51" s="184">
        <v>0.05</v>
      </c>
      <c r="F51" s="185"/>
      <c r="G51" s="185" t="s">
        <v>34</v>
      </c>
      <c r="H51" s="185"/>
      <c r="I51" s="185"/>
      <c r="J51" s="75">
        <v>0.05</v>
      </c>
      <c r="K51" s="181" t="s">
        <v>101</v>
      </c>
      <c r="L51" s="182"/>
      <c r="M51" s="183"/>
      <c r="N51" s="76" t="s">
        <v>19</v>
      </c>
      <c r="O51" s="77" t="s">
        <v>61</v>
      </c>
      <c r="P51" s="25">
        <f>ROUND(IF('Salary Sheet'!E1&lt;&gt;"Yes",IF(P47&lt;250001,0,IF(P47&gt;500000,12500,((P47-250000)*0.05))),IF(P47&lt;300001,0,IF(P47&gt;500000,10000,((P47-300000)*0.05)))),0)</f>
        <v>12500</v>
      </c>
    </row>
    <row r="52" spans="1:16" s="13" customFormat="1" ht="15" customHeight="1">
      <c r="A52" s="173"/>
      <c r="B52" s="181" t="s">
        <v>21</v>
      </c>
      <c r="C52" s="182"/>
      <c r="D52" s="183"/>
      <c r="E52" s="184">
        <v>0.2</v>
      </c>
      <c r="F52" s="185"/>
      <c r="G52" s="185" t="s">
        <v>21</v>
      </c>
      <c r="H52" s="185"/>
      <c r="I52" s="185"/>
      <c r="J52" s="75">
        <v>0.2</v>
      </c>
      <c r="K52" s="181" t="s">
        <v>21</v>
      </c>
      <c r="L52" s="182"/>
      <c r="M52" s="183"/>
      <c r="N52" s="75">
        <v>0.2</v>
      </c>
      <c r="O52" s="77" t="s">
        <v>61</v>
      </c>
      <c r="P52" s="25">
        <f>IF(P47&lt;500001,0,IF(P47&gt;1000000,100000,((P47-500000)*0.2)))</f>
        <v>20928</v>
      </c>
    </row>
    <row r="53" spans="1:16" s="13" customFormat="1" ht="15" customHeight="1">
      <c r="A53" s="173"/>
      <c r="B53" s="181" t="s">
        <v>103</v>
      </c>
      <c r="C53" s="182"/>
      <c r="D53" s="183"/>
      <c r="E53" s="184">
        <v>0.3</v>
      </c>
      <c r="F53" s="185"/>
      <c r="G53" s="185" t="s">
        <v>104</v>
      </c>
      <c r="H53" s="185"/>
      <c r="I53" s="185"/>
      <c r="J53" s="75">
        <v>0.3</v>
      </c>
      <c r="K53" s="181" t="s">
        <v>104</v>
      </c>
      <c r="L53" s="182"/>
      <c r="M53" s="183"/>
      <c r="N53" s="75">
        <v>0.3</v>
      </c>
      <c r="O53" s="77" t="s">
        <v>61</v>
      </c>
      <c r="P53" s="25">
        <f>IF(P47&lt;1000001,0,((P47-1000000)*0.3))</f>
        <v>0</v>
      </c>
    </row>
    <row r="54" spans="1:16" s="13" customFormat="1" ht="15" customHeight="1">
      <c r="A54" s="173"/>
      <c r="B54" s="165" t="s">
        <v>105</v>
      </c>
      <c r="C54" s="166"/>
      <c r="D54" s="166"/>
      <c r="E54" s="166"/>
      <c r="F54" s="166"/>
      <c r="G54" s="166"/>
      <c r="H54" s="166"/>
      <c r="I54" s="166"/>
      <c r="J54" s="166"/>
      <c r="K54" s="166"/>
      <c r="L54" s="166"/>
      <c r="M54" s="166"/>
      <c r="N54" s="167"/>
      <c r="O54" s="77" t="s">
        <v>61</v>
      </c>
      <c r="P54" s="21">
        <f>SUM(P50:P53)</f>
        <v>33428</v>
      </c>
    </row>
    <row r="55" spans="1:16" s="13" customFormat="1" ht="15" customHeight="1">
      <c r="A55" s="173"/>
      <c r="B55" s="165" t="s">
        <v>106</v>
      </c>
      <c r="C55" s="166"/>
      <c r="D55" s="166"/>
      <c r="E55" s="166"/>
      <c r="F55" s="166"/>
      <c r="G55" s="166"/>
      <c r="H55" s="166"/>
      <c r="I55" s="166"/>
      <c r="J55" s="166"/>
      <c r="K55" s="166"/>
      <c r="L55" s="166"/>
      <c r="M55" s="166"/>
      <c r="N55" s="167"/>
      <c r="O55" s="77" t="s">
        <v>61</v>
      </c>
      <c r="P55" s="22">
        <f>IF(P47&gt;500000,0,IF(P54&lt;12501,P54,12500))</f>
        <v>0</v>
      </c>
    </row>
    <row r="56" spans="1:16" s="13" customFormat="1" ht="15" customHeight="1">
      <c r="A56" s="173"/>
      <c r="B56" s="165" t="s">
        <v>107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66"/>
      <c r="M56" s="166"/>
      <c r="N56" s="167"/>
      <c r="O56" s="77" t="s">
        <v>61</v>
      </c>
      <c r="P56" s="21">
        <f>P54-P55</f>
        <v>33428</v>
      </c>
    </row>
    <row r="57" spans="1:16" s="13" customFormat="1" ht="15" customHeight="1">
      <c r="A57" s="173"/>
      <c r="B57" s="168" t="s">
        <v>108</v>
      </c>
      <c r="C57" s="168"/>
      <c r="D57" s="168"/>
      <c r="E57" s="168"/>
      <c r="F57" s="168"/>
      <c r="G57" s="168"/>
      <c r="H57" s="168"/>
      <c r="I57" s="168"/>
      <c r="J57" s="168"/>
      <c r="K57" s="168"/>
      <c r="L57" s="168"/>
      <c r="M57" s="168"/>
      <c r="N57" s="168"/>
      <c r="O57" s="77" t="s">
        <v>61</v>
      </c>
      <c r="P57" s="22">
        <f>ROUND(P56*0.04,0)</f>
        <v>1337</v>
      </c>
    </row>
    <row r="58" spans="1:16" s="13" customFormat="1" ht="15" customHeight="1">
      <c r="A58" s="174"/>
      <c r="B58" s="169" t="s">
        <v>109</v>
      </c>
      <c r="C58" s="170"/>
      <c r="D58" s="170"/>
      <c r="E58" s="170"/>
      <c r="F58" s="170"/>
      <c r="G58" s="170"/>
      <c r="H58" s="170"/>
      <c r="I58" s="170"/>
      <c r="J58" s="170"/>
      <c r="K58" s="170"/>
      <c r="L58" s="170"/>
      <c r="M58" s="170"/>
      <c r="N58" s="171"/>
      <c r="O58" s="77" t="s">
        <v>61</v>
      </c>
      <c r="P58" s="21">
        <f>SUM(P56:P57)</f>
        <v>34765</v>
      </c>
    </row>
    <row r="59" spans="1:16" s="13" customFormat="1" ht="15" customHeight="1">
      <c r="A59" s="80">
        <v>17</v>
      </c>
      <c r="B59" s="194" t="s">
        <v>110</v>
      </c>
      <c r="C59" s="195"/>
      <c r="D59" s="195"/>
      <c r="E59" s="195"/>
      <c r="F59" s="195"/>
      <c r="G59" s="195"/>
      <c r="H59" s="195"/>
      <c r="I59" s="195"/>
      <c r="J59" s="195"/>
      <c r="K59" s="195"/>
      <c r="L59" s="195"/>
      <c r="M59" s="195"/>
      <c r="N59" s="196"/>
      <c r="O59" s="77" t="s">
        <v>61</v>
      </c>
      <c r="P59" s="22">
        <f>'Other Deduction'!E17</f>
        <v>0</v>
      </c>
    </row>
    <row r="60" spans="1:16" s="13" customFormat="1" ht="15" customHeight="1">
      <c r="A60" s="80">
        <v>18</v>
      </c>
      <c r="B60" s="197" t="s">
        <v>111</v>
      </c>
      <c r="C60" s="197"/>
      <c r="D60" s="197"/>
      <c r="E60" s="197"/>
      <c r="F60" s="197"/>
      <c r="G60" s="197"/>
      <c r="H60" s="197"/>
      <c r="I60" s="197"/>
      <c r="J60" s="197"/>
      <c r="K60" s="197"/>
      <c r="L60" s="197"/>
      <c r="M60" s="197"/>
      <c r="N60" s="197"/>
      <c r="O60" s="77" t="s">
        <v>61</v>
      </c>
      <c r="P60" s="21">
        <f>P58-P59</f>
        <v>34765</v>
      </c>
    </row>
    <row r="61" spans="1:16" ht="33.75" customHeight="1">
      <c r="A61" s="172">
        <v>19</v>
      </c>
      <c r="B61" s="200" t="s">
        <v>112</v>
      </c>
      <c r="C61" s="201"/>
      <c r="D61" s="202"/>
      <c r="E61" s="198" t="s">
        <v>113</v>
      </c>
      <c r="F61" s="198"/>
      <c r="G61" s="198"/>
      <c r="H61" s="198"/>
      <c r="I61" s="187" t="s">
        <v>114</v>
      </c>
      <c r="J61" s="199"/>
      <c r="K61" s="78" t="s">
        <v>115</v>
      </c>
      <c r="L61" s="187" t="s">
        <v>116</v>
      </c>
      <c r="M61" s="199"/>
      <c r="N61" s="78" t="s">
        <v>117</v>
      </c>
      <c r="O61" s="187" t="s">
        <v>118</v>
      </c>
      <c r="P61" s="188"/>
    </row>
    <row r="62" spans="1:16">
      <c r="A62" s="174"/>
      <c r="B62" s="203"/>
      <c r="C62" s="204"/>
      <c r="D62" s="205"/>
      <c r="E62" s="189">
        <f>SUM('Salary Sheet'!V8:V14)</f>
        <v>35000</v>
      </c>
      <c r="F62" s="189"/>
      <c r="G62" s="189"/>
      <c r="H62" s="189"/>
      <c r="I62" s="189">
        <f>SUM('Salary Sheet'!V15:V17)</f>
        <v>15000</v>
      </c>
      <c r="J62" s="189"/>
      <c r="K62" s="18">
        <f>'Salary Sheet'!V18</f>
        <v>5000</v>
      </c>
      <c r="L62" s="189">
        <f>'Salary Sheet'!V19</f>
        <v>5000</v>
      </c>
      <c r="M62" s="189"/>
      <c r="N62" s="42">
        <f>SUM('Salary Sheet'!V20:V27)+'Other Deduction'!E18</f>
        <v>0</v>
      </c>
      <c r="O62" s="190">
        <f>E62+I62+K62+L62+N62</f>
        <v>60000</v>
      </c>
      <c r="P62" s="191"/>
    </row>
    <row r="63" spans="1:16" ht="16.5" thickBot="1">
      <c r="A63" s="192" t="str">
        <f>IF(P60&gt;O62,"Income Tax Payable",IF(P60&lt;O62,"Income Tax Refundable","Income Tax Payble/Refundable"))</f>
        <v>Income Tax Refundable</v>
      </c>
      <c r="B63" s="193"/>
      <c r="C63" s="193"/>
      <c r="D63" s="193"/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77" t="s">
        <v>61</v>
      </c>
      <c r="P63" s="26">
        <f>IF(P60&gt;O62,P60-O62,O62-P60)</f>
        <v>25235</v>
      </c>
    </row>
    <row r="64" spans="1:16">
      <c r="A64" s="81"/>
      <c r="B64" s="81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2"/>
      <c r="P64" s="28"/>
    </row>
    <row r="65" spans="1:17">
      <c r="A65" s="83"/>
      <c r="B65" s="269" t="s">
        <v>120</v>
      </c>
      <c r="C65" s="269"/>
      <c r="D65" s="269"/>
      <c r="E65" s="269"/>
      <c r="F65" s="84"/>
      <c r="G65" s="84"/>
      <c r="H65" s="84"/>
      <c r="I65" s="84"/>
      <c r="J65" s="84"/>
      <c r="K65" s="84"/>
      <c r="L65" s="269" t="s">
        <v>24</v>
      </c>
      <c r="M65" s="269"/>
      <c r="N65" s="269"/>
      <c r="O65" s="269"/>
      <c r="P65" s="85"/>
    </row>
    <row r="66" spans="1:17">
      <c r="A66" s="269"/>
      <c r="B66" s="269"/>
      <c r="C66" s="269"/>
      <c r="D66" s="269"/>
      <c r="E66" s="84"/>
      <c r="F66" s="84"/>
      <c r="G66" s="84"/>
      <c r="H66" s="84"/>
      <c r="I66" s="84"/>
      <c r="J66" s="84"/>
      <c r="K66" s="84"/>
      <c r="L66" s="84"/>
      <c r="M66" s="269"/>
      <c r="N66" s="269"/>
      <c r="O66" s="269"/>
      <c r="P66" s="269"/>
    </row>
    <row r="67" spans="1:17" s="43" customFormat="1" ht="15.75" hidden="1" customHeight="1">
      <c r="A67" s="86"/>
      <c r="B67" s="186"/>
      <c r="C67" s="186"/>
      <c r="D67" s="186"/>
      <c r="E67" s="186"/>
      <c r="F67" s="186"/>
      <c r="G67" s="186"/>
      <c r="H67" s="186"/>
      <c r="I67" s="186"/>
      <c r="J67" s="186"/>
      <c r="K67" s="186"/>
      <c r="L67" s="186"/>
      <c r="M67" s="186"/>
      <c r="N67" s="186"/>
      <c r="O67" s="186"/>
      <c r="P67" s="186"/>
    </row>
    <row r="68" spans="1:17" s="43" customFormat="1" ht="15.75" hidden="1" customHeight="1">
      <c r="A68" s="87"/>
      <c r="B68" s="186"/>
      <c r="C68" s="186"/>
      <c r="D68" s="186"/>
      <c r="E68" s="186"/>
      <c r="F68" s="186"/>
      <c r="G68" s="186"/>
      <c r="H68" s="186"/>
      <c r="I68" s="186"/>
      <c r="J68" s="186"/>
      <c r="K68" s="186"/>
      <c r="L68" s="186"/>
      <c r="M68" s="186"/>
      <c r="N68" s="186"/>
      <c r="O68" s="186"/>
      <c r="P68" s="186"/>
    </row>
    <row r="69" spans="1:17" s="43" customFormat="1" ht="24" hidden="1" customHeight="1">
      <c r="A69" s="86"/>
      <c r="B69" s="186"/>
      <c r="C69" s="186"/>
      <c r="D69" s="186"/>
      <c r="E69" s="186"/>
      <c r="F69" s="186"/>
      <c r="G69" s="186"/>
      <c r="H69" s="186"/>
      <c r="I69" s="186"/>
      <c r="J69" s="186"/>
      <c r="K69" s="186"/>
      <c r="L69" s="186"/>
      <c r="M69" s="186"/>
      <c r="N69" s="186"/>
      <c r="O69" s="186"/>
      <c r="P69" s="186"/>
    </row>
    <row r="70" spans="1:17" s="43" customFormat="1" ht="15.75" hidden="1" customHeight="1">
      <c r="A70" s="86"/>
      <c r="B70" s="88"/>
      <c r="C70" s="88"/>
      <c r="D70" s="88"/>
      <c r="E70" s="88"/>
      <c r="F70" s="88"/>
      <c r="G70" s="88"/>
      <c r="H70" s="88"/>
      <c r="I70" s="88"/>
      <c r="J70" s="88"/>
      <c r="K70" s="164"/>
      <c r="L70" s="164"/>
      <c r="M70" s="164"/>
      <c r="N70" s="164"/>
      <c r="O70" s="164"/>
      <c r="P70" s="164"/>
    </row>
    <row r="71" spans="1:17" s="43" customFormat="1" ht="15.75" hidden="1" customHeight="1">
      <c r="A71" s="86"/>
      <c r="B71" s="88"/>
      <c r="C71" s="88"/>
      <c r="D71" s="88"/>
      <c r="E71" s="88"/>
      <c r="F71" s="88"/>
      <c r="G71" s="88"/>
      <c r="H71" s="88"/>
      <c r="I71" s="88"/>
      <c r="J71" s="88"/>
      <c r="K71" s="164"/>
      <c r="L71" s="164"/>
      <c r="M71" s="164"/>
      <c r="N71" s="164"/>
      <c r="O71" s="164"/>
      <c r="P71" s="164"/>
    </row>
    <row r="72" spans="1:17" s="43" customFormat="1" ht="15.75" hidden="1" customHeight="1">
      <c r="A72" s="86"/>
      <c r="B72" s="88"/>
      <c r="C72" s="88"/>
      <c r="D72" s="88"/>
      <c r="E72" s="88"/>
      <c r="F72" s="88"/>
      <c r="G72" s="88"/>
      <c r="H72" s="88"/>
      <c r="I72" s="88"/>
      <c r="J72" s="88"/>
      <c r="K72" s="164"/>
      <c r="L72" s="164"/>
      <c r="M72" s="164"/>
      <c r="N72" s="164"/>
      <c r="O72" s="164"/>
      <c r="P72" s="164"/>
    </row>
    <row r="73" spans="1:17" s="43" customFormat="1" ht="15.75" hidden="1" customHeight="1">
      <c r="A73" s="86"/>
      <c r="B73" s="88"/>
      <c r="C73" s="88"/>
      <c r="D73" s="88"/>
      <c r="E73" s="88"/>
      <c r="F73" s="88"/>
      <c r="G73" s="88"/>
      <c r="H73" s="88"/>
      <c r="I73" s="88"/>
      <c r="J73" s="88"/>
      <c r="K73" s="164"/>
      <c r="L73" s="164"/>
      <c r="M73" s="164"/>
      <c r="N73" s="164"/>
      <c r="O73" s="164"/>
      <c r="P73" s="164"/>
    </row>
    <row r="74" spans="1:17" s="43" customFormat="1" ht="15.75" hidden="1" customHeight="1">
      <c r="A74" s="86"/>
      <c r="B74" s="88"/>
      <c r="C74" s="88"/>
      <c r="D74" s="88"/>
      <c r="E74" s="88"/>
      <c r="F74" s="88"/>
      <c r="G74" s="88"/>
      <c r="H74" s="88"/>
      <c r="I74" s="88"/>
      <c r="J74" s="88"/>
      <c r="K74" s="164"/>
      <c r="L74" s="164"/>
      <c r="M74" s="164"/>
      <c r="N74" s="164"/>
      <c r="O74" s="164"/>
      <c r="P74" s="164"/>
    </row>
    <row r="75" spans="1:17" s="43" customFormat="1" hidden="1">
      <c r="A75" s="87"/>
      <c r="B75" s="89"/>
      <c r="C75" s="255"/>
      <c r="D75" s="255"/>
      <c r="E75" s="255"/>
      <c r="F75" s="255"/>
      <c r="G75" s="255"/>
      <c r="H75" s="255"/>
      <c r="I75" s="255"/>
      <c r="J75" s="89"/>
      <c r="K75" s="164"/>
      <c r="L75" s="164"/>
      <c r="M75" s="164"/>
      <c r="N75" s="164"/>
      <c r="O75" s="164"/>
      <c r="P75" s="164"/>
    </row>
    <row r="76" spans="1:17" s="43" customFormat="1" hidden="1">
      <c r="A76" s="87"/>
      <c r="B76" s="89"/>
      <c r="C76" s="89"/>
      <c r="D76" s="89"/>
      <c r="E76" s="89"/>
      <c r="F76" s="89"/>
      <c r="G76" s="89"/>
      <c r="H76" s="89"/>
      <c r="I76" s="89"/>
      <c r="J76" s="89"/>
      <c r="K76" s="164"/>
      <c r="L76" s="164"/>
      <c r="M76" s="164"/>
      <c r="N76" s="164"/>
      <c r="O76" s="164"/>
      <c r="P76" s="164"/>
    </row>
    <row r="77" spans="1:17" hidden="1">
      <c r="A77" s="90"/>
      <c r="B77" s="91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2"/>
      <c r="P77" s="93"/>
      <c r="Q77" s="41"/>
    </row>
    <row r="78" spans="1:17" hidden="1">
      <c r="A78" s="90"/>
      <c r="B78" s="91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2"/>
      <c r="P78" s="93"/>
      <c r="Q78" s="41"/>
    </row>
    <row r="79" spans="1:17" hidden="1">
      <c r="A79" s="90"/>
      <c r="B79" s="91"/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2"/>
      <c r="P79" s="93"/>
      <c r="Q79" s="41"/>
    </row>
    <row r="80" spans="1:17" hidden="1">
      <c r="A80" s="94"/>
      <c r="B80" s="95"/>
      <c r="C80" s="95"/>
      <c r="D80" s="95"/>
      <c r="E80" s="95"/>
      <c r="F80" s="95"/>
      <c r="G80" s="95"/>
      <c r="H80" s="95"/>
      <c r="I80" s="95"/>
      <c r="J80" s="95"/>
      <c r="K80" s="95"/>
      <c r="L80" s="95"/>
      <c r="M80" s="95"/>
      <c r="N80" s="95"/>
      <c r="O80" s="96"/>
      <c r="P80" s="97"/>
    </row>
    <row r="81" spans="1:16" hidden="1">
      <c r="A81" s="94"/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6"/>
      <c r="P81" s="97"/>
    </row>
    <row r="82" spans="1:16" hidden="1">
      <c r="A82" s="94"/>
      <c r="B82" s="95"/>
      <c r="C82" s="95"/>
      <c r="D82" s="95"/>
      <c r="E82" s="95"/>
      <c r="F82" s="95"/>
      <c r="G82" s="95"/>
      <c r="H82" s="95"/>
      <c r="I82" s="95"/>
      <c r="J82" s="95"/>
      <c r="K82" s="95"/>
      <c r="L82" s="95"/>
      <c r="M82" s="95"/>
      <c r="N82" s="95"/>
      <c r="O82" s="96"/>
      <c r="P82" s="97"/>
    </row>
    <row r="83" spans="1:16" hidden="1"/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5">
    <mergeCell ref="M66:P66"/>
    <mergeCell ref="B33:N33"/>
    <mergeCell ref="B32:N32"/>
    <mergeCell ref="B34:N34"/>
    <mergeCell ref="B65:E65"/>
    <mergeCell ref="L65:O65"/>
    <mergeCell ref="J27:L27"/>
    <mergeCell ref="A12:A14"/>
    <mergeCell ref="B12:I12"/>
    <mergeCell ref="J12:K12"/>
    <mergeCell ref="D14:F14"/>
    <mergeCell ref="D13:F13"/>
    <mergeCell ref="B13:C14"/>
    <mergeCell ref="A19:A31"/>
    <mergeCell ref="A66:D66"/>
    <mergeCell ref="C25:F25"/>
    <mergeCell ref="C26:F26"/>
    <mergeCell ref="J26:L26"/>
    <mergeCell ref="B46:N46"/>
    <mergeCell ref="J22:L22"/>
    <mergeCell ref="J25:L25"/>
    <mergeCell ref="B47:N47"/>
    <mergeCell ref="E50:F50"/>
    <mergeCell ref="G50:I50"/>
    <mergeCell ref="C75:I75"/>
    <mergeCell ref="L12:N12"/>
    <mergeCell ref="O12:P14"/>
    <mergeCell ref="G13:I13"/>
    <mergeCell ref="J13:K13"/>
    <mergeCell ref="B15:N15"/>
    <mergeCell ref="B16:N16"/>
    <mergeCell ref="B17:N17"/>
    <mergeCell ref="B18:N18"/>
    <mergeCell ref="C27:F27"/>
    <mergeCell ref="L13:N13"/>
    <mergeCell ref="G14:I14"/>
    <mergeCell ref="J14:K14"/>
    <mergeCell ref="L14:N14"/>
    <mergeCell ref="C28:F28"/>
    <mergeCell ref="J28:L28"/>
    <mergeCell ref="B45:N45"/>
    <mergeCell ref="E51:F51"/>
    <mergeCell ref="B19:P19"/>
    <mergeCell ref="B20:P20"/>
    <mergeCell ref="C21:F21"/>
    <mergeCell ref="C22:F22"/>
    <mergeCell ref="B30:L30"/>
    <mergeCell ref="J29:L29"/>
    <mergeCell ref="A1:P1"/>
    <mergeCell ref="A2:P2"/>
    <mergeCell ref="B3:C3"/>
    <mergeCell ref="O3:P3"/>
    <mergeCell ref="B4:N4"/>
    <mergeCell ref="B5:N5"/>
    <mergeCell ref="B6:N6"/>
    <mergeCell ref="B11:N11"/>
    <mergeCell ref="B7:K7"/>
    <mergeCell ref="L7:N7"/>
    <mergeCell ref="B10:K10"/>
    <mergeCell ref="L10:N10"/>
    <mergeCell ref="D3:I3"/>
    <mergeCell ref="K3:M3"/>
    <mergeCell ref="A7:A10"/>
    <mergeCell ref="L8:N8"/>
    <mergeCell ref="B8:K8"/>
    <mergeCell ref="B9:K9"/>
    <mergeCell ref="L9:N9"/>
    <mergeCell ref="O7:P9"/>
    <mergeCell ref="K50:M50"/>
    <mergeCell ref="C29:F29"/>
    <mergeCell ref="B31:N31"/>
    <mergeCell ref="J21:L21"/>
    <mergeCell ref="A35:A44"/>
    <mergeCell ref="B35:P35"/>
    <mergeCell ref="B36:N36"/>
    <mergeCell ref="B37:N37"/>
    <mergeCell ref="B38:N38"/>
    <mergeCell ref="B39:N39"/>
    <mergeCell ref="B40:N40"/>
    <mergeCell ref="B41:N41"/>
    <mergeCell ref="B44:N44"/>
    <mergeCell ref="B42:N42"/>
    <mergeCell ref="B43:N43"/>
    <mergeCell ref="O21:P30"/>
    <mergeCell ref="C23:F23"/>
    <mergeCell ref="J23:L23"/>
    <mergeCell ref="C24:F24"/>
    <mergeCell ref="J24:L24"/>
    <mergeCell ref="E53:F53"/>
    <mergeCell ref="G53:I53"/>
    <mergeCell ref="K53:M53"/>
    <mergeCell ref="L62:M62"/>
    <mergeCell ref="O62:P62"/>
    <mergeCell ref="A63:N63"/>
    <mergeCell ref="B59:N59"/>
    <mergeCell ref="B60:N60"/>
    <mergeCell ref="E61:H61"/>
    <mergeCell ref="I61:J61"/>
    <mergeCell ref="L61:M61"/>
    <mergeCell ref="B61:D62"/>
    <mergeCell ref="A61:A62"/>
    <mergeCell ref="K70:P76"/>
    <mergeCell ref="B54:N54"/>
    <mergeCell ref="B57:N57"/>
    <mergeCell ref="B58:N58"/>
    <mergeCell ref="A48:A58"/>
    <mergeCell ref="B48:P48"/>
    <mergeCell ref="B49:F49"/>
    <mergeCell ref="G49:J49"/>
    <mergeCell ref="K49:N49"/>
    <mergeCell ref="B52:D52"/>
    <mergeCell ref="B53:D53"/>
    <mergeCell ref="B50:D50"/>
    <mergeCell ref="B51:D51"/>
    <mergeCell ref="E52:F52"/>
    <mergeCell ref="G52:I52"/>
    <mergeCell ref="K52:M52"/>
    <mergeCell ref="G51:I51"/>
    <mergeCell ref="K51:M51"/>
    <mergeCell ref="B55:N55"/>
    <mergeCell ref="B56:N56"/>
    <mergeCell ref="B67:P69"/>
    <mergeCell ref="O61:P61"/>
    <mergeCell ref="E62:H62"/>
    <mergeCell ref="I62:J62"/>
  </mergeCells>
  <printOptions horizontalCentered="1"/>
  <pageMargins left="0.39370078740157499" right="0.23622047244094499" top="0.23622047244094499" bottom="0.27559055118110198" header="0.196850393700787" footer="0.23622047244094499"/>
  <pageSetup paperSize="9" scale="75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R86"/>
  <sheetViews>
    <sheetView showGridLines="0" workbookViewId="0">
      <selection activeCell="P57" sqref="P57"/>
    </sheetView>
  </sheetViews>
  <sheetFormatPr defaultColWidth="0" defaultRowHeight="15.75" customHeight="1" zeroHeight="1"/>
  <cols>
    <col min="1" max="1" width="4.5703125" style="10" customWidth="1" collapsed="1"/>
    <col min="2" max="2" width="4.5703125" style="9" customWidth="1" collapsed="1"/>
    <col min="3" max="4" width="9.140625" style="9" customWidth="1" collapsed="1"/>
    <col min="5" max="5" width="3.85546875" style="9" customWidth="1" collapsed="1"/>
    <col min="6" max="6" width="5.42578125" style="9" customWidth="1" collapsed="1"/>
    <col min="7" max="7" width="4.5703125" style="9" customWidth="1" collapsed="1"/>
    <col min="8" max="8" width="11.85546875" style="9" customWidth="1" collapsed="1"/>
    <col min="9" max="9" width="5.140625" style="9" customWidth="1" collapsed="1"/>
    <col min="10" max="10" width="11.7109375" style="9" customWidth="1" collapsed="1"/>
    <col min="11" max="11" width="11.42578125" style="9" customWidth="1" collapsed="1"/>
    <col min="12" max="12" width="9.42578125" style="9" customWidth="1" collapsed="1"/>
    <col min="13" max="13" width="4.5703125" style="9" customWidth="1" collapsed="1"/>
    <col min="14" max="14" width="12.7109375" style="9" customWidth="1" collapsed="1"/>
    <col min="15" max="15" width="3.85546875" style="11" customWidth="1" collapsed="1"/>
    <col min="16" max="16" width="19.28515625" style="12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3" customFormat="1" ht="18.75">
      <c r="A1" s="231" t="str">
        <f>'Salary Sheet'!C2</f>
        <v>OFFICE OF THE PRINCIPAL GOVT. HIGHER SECONDARY SCHOOL, GANGIWARA,  CHHINDWARA M.P.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</row>
    <row r="2" spans="1:16" s="13" customFormat="1" ht="21.75" thickBot="1">
      <c r="A2" s="232" t="s">
        <v>119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</row>
    <row r="3" spans="1:16" s="13" customFormat="1" ht="15" customHeight="1">
      <c r="A3" s="79">
        <v>1</v>
      </c>
      <c r="B3" s="233" t="s">
        <v>73</v>
      </c>
      <c r="C3" s="234"/>
      <c r="D3" s="247" t="str">
        <f>'Salary Sheet'!$E$4</f>
        <v>PARMANAND MEGHWAL</v>
      </c>
      <c r="E3" s="247"/>
      <c r="F3" s="247"/>
      <c r="G3" s="247"/>
      <c r="H3" s="247"/>
      <c r="I3" s="247"/>
      <c r="J3" s="74" t="s">
        <v>48</v>
      </c>
      <c r="K3" s="248" t="str">
        <f>'Salary Sheet'!N4</f>
        <v>SENIOR TEACHER</v>
      </c>
      <c r="L3" s="248"/>
      <c r="M3" s="248"/>
      <c r="N3" s="27" t="s">
        <v>17</v>
      </c>
      <c r="O3" s="235" t="str">
        <f>'Salary Sheet'!Z4</f>
        <v>AAAAAAA</v>
      </c>
      <c r="P3" s="236"/>
    </row>
    <row r="4" spans="1:16" s="13" customFormat="1" ht="15" customHeight="1">
      <c r="A4" s="80">
        <v>2</v>
      </c>
      <c r="B4" s="237" t="s">
        <v>74</v>
      </c>
      <c r="C4" s="237"/>
      <c r="D4" s="175"/>
      <c r="E4" s="175"/>
      <c r="F4" s="175"/>
      <c r="G4" s="175"/>
      <c r="H4" s="175"/>
      <c r="I4" s="175"/>
      <c r="J4" s="237"/>
      <c r="K4" s="175"/>
      <c r="L4" s="175"/>
      <c r="M4" s="175"/>
      <c r="N4" s="237"/>
      <c r="O4" s="112" t="s">
        <v>61</v>
      </c>
      <c r="P4" s="21">
        <f>IF('Salary Sheet'!O1="No",'Salary Sheet'!N28,('Salary Sheet'!N28+'Salary Sheet'!O28))</f>
        <v>869748</v>
      </c>
    </row>
    <row r="5" spans="1:16" s="13" customFormat="1" ht="15" customHeight="1">
      <c r="A5" s="80">
        <v>3</v>
      </c>
      <c r="B5" s="238" t="s">
        <v>75</v>
      </c>
      <c r="C5" s="238"/>
      <c r="D5" s="238"/>
      <c r="E5" s="238"/>
      <c r="F5" s="238"/>
      <c r="G5" s="238"/>
      <c r="H5" s="238"/>
      <c r="I5" s="238"/>
      <c r="J5" s="238"/>
      <c r="K5" s="238"/>
      <c r="L5" s="238"/>
      <c r="M5" s="238"/>
      <c r="N5" s="238"/>
      <c r="O5" s="112" t="s">
        <v>61</v>
      </c>
      <c r="P5" s="22">
        <v>0</v>
      </c>
    </row>
    <row r="6" spans="1:16" s="13" customFormat="1" ht="15" customHeight="1">
      <c r="A6" s="80">
        <v>4</v>
      </c>
      <c r="B6" s="240" t="s">
        <v>191</v>
      </c>
      <c r="C6" s="241"/>
      <c r="D6" s="241"/>
      <c r="E6" s="241"/>
      <c r="F6" s="241"/>
      <c r="G6" s="241"/>
      <c r="H6" s="241"/>
      <c r="I6" s="241"/>
      <c r="J6" s="241"/>
      <c r="K6" s="241"/>
      <c r="L6" s="241"/>
      <c r="M6" s="241"/>
      <c r="N6" s="242"/>
      <c r="O6" s="112" t="s">
        <v>61</v>
      </c>
      <c r="P6" s="22">
        <f>P4-P5</f>
        <v>869748</v>
      </c>
    </row>
    <row r="7" spans="1:16" s="13" customFormat="1" ht="15" customHeight="1">
      <c r="A7" s="172">
        <v>5</v>
      </c>
      <c r="B7" s="243" t="s">
        <v>82</v>
      </c>
      <c r="C7" s="244"/>
      <c r="D7" s="244"/>
      <c r="E7" s="244"/>
      <c r="F7" s="244"/>
      <c r="G7" s="244"/>
      <c r="H7" s="244"/>
      <c r="I7" s="244"/>
      <c r="J7" s="244"/>
      <c r="K7" s="244"/>
      <c r="L7" s="245">
        <f>'Other Deduction'!B4</f>
        <v>0</v>
      </c>
      <c r="M7" s="245"/>
      <c r="N7" s="245"/>
      <c r="O7" s="220"/>
      <c r="P7" s="252"/>
    </row>
    <row r="8" spans="1:16" s="13" customFormat="1" ht="15" customHeight="1">
      <c r="A8" s="173"/>
      <c r="B8" s="194" t="s">
        <v>83</v>
      </c>
      <c r="C8" s="195"/>
      <c r="D8" s="195"/>
      <c r="E8" s="195"/>
      <c r="F8" s="195"/>
      <c r="G8" s="195"/>
      <c r="H8" s="195"/>
      <c r="I8" s="195"/>
      <c r="J8" s="195"/>
      <c r="K8" s="195"/>
      <c r="L8" s="245">
        <f>'Other Deduction'!B5</f>
        <v>0</v>
      </c>
      <c r="M8" s="245"/>
      <c r="N8" s="245"/>
      <c r="O8" s="222"/>
      <c r="P8" s="253"/>
    </row>
    <row r="9" spans="1:16" s="13" customFormat="1" ht="15" customHeight="1">
      <c r="A9" s="173"/>
      <c r="B9" s="194" t="s">
        <v>182</v>
      </c>
      <c r="C9" s="195"/>
      <c r="D9" s="195"/>
      <c r="E9" s="195"/>
      <c r="F9" s="195"/>
      <c r="G9" s="195"/>
      <c r="H9" s="195"/>
      <c r="I9" s="195"/>
      <c r="J9" s="195"/>
      <c r="K9" s="196"/>
      <c r="L9" s="249">
        <f>'Salary Sheet'!Q28</f>
        <v>2500</v>
      </c>
      <c r="M9" s="250"/>
      <c r="N9" s="251"/>
      <c r="O9" s="224"/>
      <c r="P9" s="254"/>
    </row>
    <row r="10" spans="1:16" s="13" customFormat="1" ht="15" customHeight="1">
      <c r="A10" s="174"/>
      <c r="B10" s="246" t="s">
        <v>181</v>
      </c>
      <c r="C10" s="244"/>
      <c r="D10" s="244"/>
      <c r="E10" s="244"/>
      <c r="F10" s="244"/>
      <c r="G10" s="244"/>
      <c r="H10" s="244"/>
      <c r="I10" s="244"/>
      <c r="J10" s="244"/>
      <c r="K10" s="244"/>
      <c r="L10" s="245">
        <f>IF(P6&lt;50000,P6,50000)</f>
        <v>50000</v>
      </c>
      <c r="M10" s="245"/>
      <c r="N10" s="245"/>
      <c r="O10" s="112" t="s">
        <v>61</v>
      </c>
      <c r="P10" s="22">
        <v>0</v>
      </c>
    </row>
    <row r="11" spans="1:16" s="13" customFormat="1" ht="15" customHeight="1">
      <c r="A11" s="80">
        <v>6</v>
      </c>
      <c r="B11" s="240" t="s">
        <v>76</v>
      </c>
      <c r="C11" s="241"/>
      <c r="D11" s="241"/>
      <c r="E11" s="241"/>
      <c r="F11" s="241"/>
      <c r="G11" s="241"/>
      <c r="H11" s="241"/>
      <c r="I11" s="241"/>
      <c r="J11" s="241"/>
      <c r="K11" s="241"/>
      <c r="L11" s="241"/>
      <c r="M11" s="241"/>
      <c r="N11" s="242"/>
      <c r="O11" s="112" t="s">
        <v>61</v>
      </c>
      <c r="P11" s="22">
        <f>P6-P10</f>
        <v>869748</v>
      </c>
    </row>
    <row r="12" spans="1:16" s="13" customFormat="1" ht="15" customHeight="1">
      <c r="A12" s="279">
        <v>7</v>
      </c>
      <c r="B12" s="175" t="s">
        <v>77</v>
      </c>
      <c r="C12" s="175"/>
      <c r="D12" s="175"/>
      <c r="E12" s="175"/>
      <c r="F12" s="175"/>
      <c r="G12" s="175"/>
      <c r="H12" s="175"/>
      <c r="I12" s="175"/>
      <c r="J12" s="261" t="s">
        <v>78</v>
      </c>
      <c r="K12" s="261"/>
      <c r="L12" s="245">
        <f>'Other Deduction'!B6</f>
        <v>0</v>
      </c>
      <c r="M12" s="245"/>
      <c r="N12" s="245"/>
      <c r="O12" s="256"/>
      <c r="P12" s="257"/>
    </row>
    <row r="13" spans="1:16" s="13" customFormat="1" ht="27.75" customHeight="1">
      <c r="A13" s="279"/>
      <c r="B13" s="283" t="s">
        <v>80</v>
      </c>
      <c r="C13" s="284"/>
      <c r="D13" s="280" t="s">
        <v>79</v>
      </c>
      <c r="E13" s="281"/>
      <c r="F13" s="282"/>
      <c r="G13" s="258" t="s">
        <v>81</v>
      </c>
      <c r="H13" s="259"/>
      <c r="I13" s="260"/>
      <c r="J13" s="261" t="s">
        <v>84</v>
      </c>
      <c r="K13" s="261"/>
      <c r="L13" s="261" t="s">
        <v>47</v>
      </c>
      <c r="M13" s="261"/>
      <c r="N13" s="261"/>
      <c r="O13" s="256"/>
      <c r="P13" s="257"/>
    </row>
    <row r="14" spans="1:16" s="13" customFormat="1" ht="15" customHeight="1">
      <c r="A14" s="279"/>
      <c r="B14" s="285"/>
      <c r="C14" s="286"/>
      <c r="D14" s="249">
        <f>ROUND(L12*0.3,0)</f>
        <v>0</v>
      </c>
      <c r="E14" s="250"/>
      <c r="F14" s="251"/>
      <c r="G14" s="249">
        <f>IF(('Salary Sheet'!U28+'Other Deduction'!B9)&gt;200000,200000,('Salary Sheet'!U28+'Other Deduction'!B9))</f>
        <v>0</v>
      </c>
      <c r="H14" s="250"/>
      <c r="I14" s="251"/>
      <c r="J14" s="245">
        <f>'Other Deduction'!B7</f>
        <v>0</v>
      </c>
      <c r="K14" s="245"/>
      <c r="L14" s="245">
        <f>D14+G14+J14</f>
        <v>0</v>
      </c>
      <c r="M14" s="245"/>
      <c r="N14" s="245"/>
      <c r="O14" s="256"/>
      <c r="P14" s="257"/>
    </row>
    <row r="15" spans="1:16" s="13" customFormat="1" ht="15" customHeight="1">
      <c r="A15" s="80"/>
      <c r="B15" s="240" t="s">
        <v>85</v>
      </c>
      <c r="C15" s="241"/>
      <c r="D15" s="241"/>
      <c r="E15" s="241"/>
      <c r="F15" s="241"/>
      <c r="G15" s="241"/>
      <c r="H15" s="241"/>
      <c r="I15" s="241"/>
      <c r="J15" s="241"/>
      <c r="K15" s="241"/>
      <c r="L15" s="241"/>
      <c r="M15" s="241"/>
      <c r="N15" s="242"/>
      <c r="O15" s="112" t="s">
        <v>61</v>
      </c>
      <c r="P15" s="22">
        <f>L12-L14</f>
        <v>0</v>
      </c>
    </row>
    <row r="16" spans="1:16" s="13" customFormat="1" ht="15" customHeight="1">
      <c r="A16" s="80">
        <v>8</v>
      </c>
      <c r="B16" s="240" t="s">
        <v>86</v>
      </c>
      <c r="C16" s="241"/>
      <c r="D16" s="241"/>
      <c r="E16" s="241"/>
      <c r="F16" s="241"/>
      <c r="G16" s="241"/>
      <c r="H16" s="241"/>
      <c r="I16" s="241"/>
      <c r="J16" s="241"/>
      <c r="K16" s="241"/>
      <c r="L16" s="241"/>
      <c r="M16" s="241"/>
      <c r="N16" s="242"/>
      <c r="O16" s="112" t="s">
        <v>61</v>
      </c>
      <c r="P16" s="22">
        <f>P11+P15</f>
        <v>869748</v>
      </c>
    </row>
    <row r="17" spans="1:16" s="13" customFormat="1" ht="15" customHeight="1">
      <c r="A17" s="80">
        <v>9</v>
      </c>
      <c r="B17" s="175" t="s">
        <v>87</v>
      </c>
      <c r="C17" s="175"/>
      <c r="D17" s="175"/>
      <c r="E17" s="175"/>
      <c r="F17" s="175"/>
      <c r="G17" s="175"/>
      <c r="H17" s="175"/>
      <c r="I17" s="175"/>
      <c r="J17" s="175"/>
      <c r="K17" s="175"/>
      <c r="L17" s="175"/>
      <c r="M17" s="175"/>
      <c r="N17" s="175"/>
      <c r="O17" s="112" t="s">
        <v>61</v>
      </c>
      <c r="P17" s="22">
        <f>'Other Deduction'!E3+'Other Deduction'!E4</f>
        <v>0</v>
      </c>
    </row>
    <row r="18" spans="1:16" s="13" customFormat="1" ht="15" customHeight="1">
      <c r="A18" s="80">
        <v>10</v>
      </c>
      <c r="B18" s="175" t="s">
        <v>88</v>
      </c>
      <c r="C18" s="175"/>
      <c r="D18" s="175"/>
      <c r="E18" s="175"/>
      <c r="F18" s="175"/>
      <c r="G18" s="175"/>
      <c r="H18" s="175"/>
      <c r="I18" s="175"/>
      <c r="J18" s="175"/>
      <c r="K18" s="175"/>
      <c r="L18" s="175"/>
      <c r="M18" s="175"/>
      <c r="N18" s="175"/>
      <c r="O18" s="112" t="s">
        <v>61</v>
      </c>
      <c r="P18" s="21">
        <f>P16+P17</f>
        <v>869748</v>
      </c>
    </row>
    <row r="19" spans="1:16" s="13" customFormat="1" ht="15" customHeight="1">
      <c r="A19" s="172">
        <v>11</v>
      </c>
      <c r="B19" s="197" t="s">
        <v>89</v>
      </c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197"/>
      <c r="P19" s="264"/>
    </row>
    <row r="20" spans="1:16" s="13" customFormat="1" ht="18" customHeight="1">
      <c r="A20" s="173"/>
      <c r="B20" s="197" t="s">
        <v>139</v>
      </c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197"/>
      <c r="P20" s="264"/>
    </row>
    <row r="21" spans="1:16" s="13" customFormat="1" ht="14.25" customHeight="1">
      <c r="A21" s="173"/>
      <c r="B21" s="67">
        <v>1</v>
      </c>
      <c r="C21" s="226" t="s">
        <v>137</v>
      </c>
      <c r="D21" s="227"/>
      <c r="E21" s="227"/>
      <c r="F21" s="227"/>
      <c r="G21" s="112" t="s">
        <v>61</v>
      </c>
      <c r="H21" s="69">
        <f>IF('Salary Sheet'!O1&lt;&gt;"No",'Salary Sheet'!O28,0)</f>
        <v>76162</v>
      </c>
      <c r="I21" s="67">
        <v>10</v>
      </c>
      <c r="J21" s="208" t="s">
        <v>60</v>
      </c>
      <c r="K21" s="209"/>
      <c r="L21" s="210"/>
      <c r="M21" s="112" t="s">
        <v>61</v>
      </c>
      <c r="N21" s="69">
        <f>'Other Deduction'!E6</f>
        <v>0</v>
      </c>
      <c r="O21" s="220"/>
      <c r="P21" s="221"/>
    </row>
    <row r="22" spans="1:16" s="13" customFormat="1" ht="26.25" customHeight="1">
      <c r="A22" s="173"/>
      <c r="B22" s="67">
        <v>2</v>
      </c>
      <c r="C22" s="226" t="s">
        <v>56</v>
      </c>
      <c r="D22" s="227"/>
      <c r="E22" s="227"/>
      <c r="F22" s="227"/>
      <c r="G22" s="112" t="s">
        <v>61</v>
      </c>
      <c r="H22" s="69">
        <f>'Salary Sheet'!R28+'Other Deduction'!B10</f>
        <v>0</v>
      </c>
      <c r="I22" s="67">
        <v>11</v>
      </c>
      <c r="J22" s="228" t="s">
        <v>62</v>
      </c>
      <c r="K22" s="229"/>
      <c r="L22" s="230"/>
      <c r="M22" s="112" t="s">
        <v>61</v>
      </c>
      <c r="N22" s="70">
        <f>'Other Deduction'!B15</f>
        <v>0</v>
      </c>
      <c r="O22" s="222"/>
      <c r="P22" s="223"/>
    </row>
    <row r="23" spans="1:16" s="13" customFormat="1" ht="14.25" customHeight="1">
      <c r="A23" s="173"/>
      <c r="B23" s="67">
        <v>3</v>
      </c>
      <c r="C23" s="226" t="s">
        <v>57</v>
      </c>
      <c r="D23" s="227"/>
      <c r="E23" s="227"/>
      <c r="F23" s="227"/>
      <c r="G23" s="112" t="s">
        <v>61</v>
      </c>
      <c r="H23" s="69">
        <f>'Other Deduction'!B14</f>
        <v>0</v>
      </c>
      <c r="I23" s="67">
        <v>12</v>
      </c>
      <c r="J23" s="228" t="s">
        <v>63</v>
      </c>
      <c r="K23" s="229"/>
      <c r="L23" s="230"/>
      <c r="M23" s="112" t="s">
        <v>61</v>
      </c>
      <c r="N23" s="70">
        <f>'Other Deduction'!B12</f>
        <v>0</v>
      </c>
      <c r="O23" s="222"/>
      <c r="P23" s="223"/>
    </row>
    <row r="24" spans="1:16" s="13" customFormat="1" ht="15" customHeight="1">
      <c r="A24" s="173"/>
      <c r="B24" s="67">
        <v>4</v>
      </c>
      <c r="C24" s="226" t="s">
        <v>69</v>
      </c>
      <c r="D24" s="227"/>
      <c r="E24" s="227"/>
      <c r="F24" s="227"/>
      <c r="G24" s="112" t="s">
        <v>61</v>
      </c>
      <c r="H24" s="69">
        <f>'Other Deduction'!B16</f>
        <v>0</v>
      </c>
      <c r="I24" s="67">
        <v>13</v>
      </c>
      <c r="J24" s="228" t="s">
        <v>64</v>
      </c>
      <c r="K24" s="229"/>
      <c r="L24" s="230"/>
      <c r="M24" s="112" t="s">
        <v>61</v>
      </c>
      <c r="N24" s="69">
        <f>'Other Deduction'!E15</f>
        <v>0</v>
      </c>
      <c r="O24" s="222"/>
      <c r="P24" s="223"/>
    </row>
    <row r="25" spans="1:16" s="13" customFormat="1" ht="15.75" customHeight="1">
      <c r="A25" s="173"/>
      <c r="B25" s="67">
        <v>5</v>
      </c>
      <c r="C25" s="226" t="s">
        <v>70</v>
      </c>
      <c r="D25" s="227"/>
      <c r="E25" s="227"/>
      <c r="F25" s="227"/>
      <c r="G25" s="112" t="s">
        <v>61</v>
      </c>
      <c r="H25" s="69">
        <f>'Other Deduction'!B17</f>
        <v>0</v>
      </c>
      <c r="I25" s="67">
        <v>14</v>
      </c>
      <c r="J25" s="208" t="s">
        <v>65</v>
      </c>
      <c r="K25" s="287"/>
      <c r="L25" s="288"/>
      <c r="M25" s="112" t="s">
        <v>61</v>
      </c>
      <c r="N25" s="69">
        <f>'Other Deduction'!E16</f>
        <v>0</v>
      </c>
      <c r="O25" s="222"/>
      <c r="P25" s="223"/>
    </row>
    <row r="26" spans="1:16" s="13" customFormat="1" ht="15.75" customHeight="1">
      <c r="A26" s="173"/>
      <c r="B26" s="67">
        <v>6</v>
      </c>
      <c r="C26" s="213" t="s">
        <v>128</v>
      </c>
      <c r="D26" s="262"/>
      <c r="E26" s="262"/>
      <c r="F26" s="263"/>
      <c r="G26" s="112" t="s">
        <v>61</v>
      </c>
      <c r="H26" s="69">
        <f>IF('Salary Sheet'!O1&lt;&gt;"Yes",'Salary Sheet'!O28,0)</f>
        <v>0</v>
      </c>
      <c r="I26" s="67">
        <v>15</v>
      </c>
      <c r="J26" s="208" t="s">
        <v>66</v>
      </c>
      <c r="K26" s="287"/>
      <c r="L26" s="288"/>
      <c r="M26" s="112" t="s">
        <v>61</v>
      </c>
      <c r="N26" s="69">
        <f>'Other Deduction'!B11</f>
        <v>0</v>
      </c>
      <c r="O26" s="222"/>
      <c r="P26" s="223"/>
    </row>
    <row r="27" spans="1:16" s="13" customFormat="1" ht="15" customHeight="1">
      <c r="A27" s="173"/>
      <c r="B27" s="67">
        <v>7</v>
      </c>
      <c r="C27" s="213" t="s">
        <v>58</v>
      </c>
      <c r="D27" s="262"/>
      <c r="E27" s="262"/>
      <c r="F27" s="263"/>
      <c r="G27" s="112" t="s">
        <v>61</v>
      </c>
      <c r="H27" s="70">
        <f>'Salary Sheet'!P28</f>
        <v>1044</v>
      </c>
      <c r="I27" s="67">
        <v>16</v>
      </c>
      <c r="J27" s="208" t="s">
        <v>67</v>
      </c>
      <c r="K27" s="209"/>
      <c r="L27" s="210"/>
      <c r="M27" s="112" t="s">
        <v>61</v>
      </c>
      <c r="N27" s="69">
        <f>'Other Deduction'!E5</f>
        <v>0</v>
      </c>
      <c r="O27" s="222"/>
      <c r="P27" s="223"/>
    </row>
    <row r="28" spans="1:16" s="13" customFormat="1" ht="15.75" customHeight="1">
      <c r="A28" s="173"/>
      <c r="B28" s="67">
        <v>8</v>
      </c>
      <c r="C28" s="226" t="s">
        <v>59</v>
      </c>
      <c r="D28" s="226"/>
      <c r="E28" s="226"/>
      <c r="F28" s="226"/>
      <c r="G28" s="112" t="s">
        <v>61</v>
      </c>
      <c r="H28" s="70">
        <f>'Other Deduction'!B13</f>
        <v>0</v>
      </c>
      <c r="I28" s="67">
        <v>17</v>
      </c>
      <c r="J28" s="228" t="s">
        <v>68</v>
      </c>
      <c r="K28" s="229"/>
      <c r="L28" s="230"/>
      <c r="M28" s="112" t="s">
        <v>61</v>
      </c>
      <c r="N28" s="69">
        <f>'Other Deduction'!B18</f>
        <v>0</v>
      </c>
      <c r="O28" s="222"/>
      <c r="P28" s="223"/>
    </row>
    <row r="29" spans="1:16" s="13" customFormat="1" ht="27" customHeight="1">
      <c r="A29" s="173"/>
      <c r="B29" s="71">
        <v>9</v>
      </c>
      <c r="C29" s="206" t="s">
        <v>170</v>
      </c>
      <c r="D29" s="206"/>
      <c r="E29" s="206"/>
      <c r="F29" s="206"/>
      <c r="G29" s="111" t="s">
        <v>61</v>
      </c>
      <c r="H29" s="73">
        <f>'Other Deduction'!B8</f>
        <v>0</v>
      </c>
      <c r="I29" s="71">
        <v>18</v>
      </c>
      <c r="J29" s="268"/>
      <c r="K29" s="268"/>
      <c r="L29" s="268"/>
      <c r="M29" s="111" t="s">
        <v>61</v>
      </c>
      <c r="N29" s="69"/>
      <c r="O29" s="222"/>
      <c r="P29" s="223"/>
    </row>
    <row r="30" spans="1:16" s="13" customFormat="1" ht="15" customHeight="1">
      <c r="A30" s="173"/>
      <c r="B30" s="265" t="s">
        <v>72</v>
      </c>
      <c r="C30" s="266"/>
      <c r="D30" s="266"/>
      <c r="E30" s="266"/>
      <c r="F30" s="266"/>
      <c r="G30" s="266"/>
      <c r="H30" s="266"/>
      <c r="I30" s="266"/>
      <c r="J30" s="266"/>
      <c r="K30" s="266"/>
      <c r="L30" s="267"/>
      <c r="M30" s="111" t="s">
        <v>61</v>
      </c>
      <c r="N30" s="14">
        <f>SUM(H21:H29)+SUM(N21:N29)</f>
        <v>77206</v>
      </c>
      <c r="O30" s="224"/>
      <c r="P30" s="225"/>
    </row>
    <row r="31" spans="1:16" s="13" customFormat="1" ht="16.5" customHeight="1">
      <c r="A31" s="173"/>
      <c r="B31" s="207" t="s">
        <v>71</v>
      </c>
      <c r="C31" s="207"/>
      <c r="D31" s="207"/>
      <c r="E31" s="207"/>
      <c r="F31" s="207"/>
      <c r="G31" s="207"/>
      <c r="H31" s="207"/>
      <c r="I31" s="207"/>
      <c r="J31" s="207"/>
      <c r="K31" s="207"/>
      <c r="L31" s="207"/>
      <c r="M31" s="207"/>
      <c r="N31" s="207"/>
      <c r="O31" s="111" t="s">
        <v>61</v>
      </c>
      <c r="P31" s="21">
        <v>0</v>
      </c>
    </row>
    <row r="32" spans="1:16" s="13" customFormat="1" ht="17.25" customHeight="1">
      <c r="A32" s="110"/>
      <c r="B32" s="273" t="s">
        <v>140</v>
      </c>
      <c r="C32" s="274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5"/>
      <c r="O32" s="111" t="s">
        <v>61</v>
      </c>
      <c r="P32" s="21">
        <f>IF('Salary Sheet'!O1="Yes",'Salary Sheet'!O28,0)</f>
        <v>76162</v>
      </c>
    </row>
    <row r="33" spans="1:16" s="13" customFormat="1" ht="15" customHeight="1">
      <c r="A33" s="110"/>
      <c r="B33" s="270" t="s">
        <v>141</v>
      </c>
      <c r="C33" s="271"/>
      <c r="D33" s="271"/>
      <c r="E33" s="271"/>
      <c r="F33" s="271"/>
      <c r="G33" s="271"/>
      <c r="H33" s="271"/>
      <c r="I33" s="271"/>
      <c r="J33" s="271"/>
      <c r="K33" s="271"/>
      <c r="L33" s="271"/>
      <c r="M33" s="271"/>
      <c r="N33" s="272"/>
      <c r="O33" s="111" t="s">
        <v>61</v>
      </c>
      <c r="P33" s="21">
        <v>0</v>
      </c>
    </row>
    <row r="34" spans="1:16" s="13" customFormat="1" ht="15" customHeight="1">
      <c r="A34" s="110"/>
      <c r="B34" s="276" t="s">
        <v>142</v>
      </c>
      <c r="C34" s="277"/>
      <c r="D34" s="277"/>
      <c r="E34" s="277"/>
      <c r="F34" s="277"/>
      <c r="G34" s="277"/>
      <c r="H34" s="277"/>
      <c r="I34" s="277"/>
      <c r="J34" s="277"/>
      <c r="K34" s="277"/>
      <c r="L34" s="277"/>
      <c r="M34" s="277"/>
      <c r="N34" s="278"/>
      <c r="O34" s="111"/>
      <c r="P34" s="21">
        <f>P31+P32+P33</f>
        <v>76162</v>
      </c>
    </row>
    <row r="35" spans="1:16" s="13" customFormat="1" ht="15" customHeight="1">
      <c r="A35" s="172">
        <v>12</v>
      </c>
      <c r="B35" s="211" t="s">
        <v>90</v>
      </c>
      <c r="C35" s="211"/>
      <c r="D35" s="211"/>
      <c r="E35" s="211"/>
      <c r="F35" s="211"/>
      <c r="G35" s="211"/>
      <c r="H35" s="211"/>
      <c r="I35" s="211"/>
      <c r="J35" s="211"/>
      <c r="K35" s="211"/>
      <c r="L35" s="211"/>
      <c r="M35" s="211"/>
      <c r="N35" s="211"/>
      <c r="O35" s="211"/>
      <c r="P35" s="212"/>
    </row>
    <row r="36" spans="1:16" s="13" customFormat="1" ht="27.75" customHeight="1">
      <c r="A36" s="173"/>
      <c r="B36" s="213" t="s">
        <v>91</v>
      </c>
      <c r="C36" s="214"/>
      <c r="D36" s="214"/>
      <c r="E36" s="214"/>
      <c r="F36" s="214"/>
      <c r="G36" s="214"/>
      <c r="H36" s="214"/>
      <c r="I36" s="214"/>
      <c r="J36" s="214"/>
      <c r="K36" s="214"/>
      <c r="L36" s="214"/>
      <c r="M36" s="214"/>
      <c r="N36" s="215"/>
      <c r="O36" s="111" t="s">
        <v>61</v>
      </c>
      <c r="P36" s="22">
        <f>'Other Deduction'!E8</f>
        <v>0</v>
      </c>
    </row>
    <row r="37" spans="1:16" s="13" customFormat="1" ht="17.25" customHeight="1">
      <c r="A37" s="173"/>
      <c r="B37" s="216" t="s">
        <v>163</v>
      </c>
      <c r="C37" s="216"/>
      <c r="D37" s="216"/>
      <c r="E37" s="216"/>
      <c r="F37" s="216"/>
      <c r="G37" s="216"/>
      <c r="H37" s="216"/>
      <c r="I37" s="216"/>
      <c r="J37" s="216"/>
      <c r="K37" s="216"/>
      <c r="L37" s="216"/>
      <c r="M37" s="216"/>
      <c r="N37" s="216"/>
      <c r="O37" s="111" t="s">
        <v>61</v>
      </c>
      <c r="P37" s="22">
        <f>'Other Deduction'!E9</f>
        <v>0</v>
      </c>
    </row>
    <row r="38" spans="1:16" s="13" customFormat="1" ht="18" customHeight="1">
      <c r="A38" s="173"/>
      <c r="B38" s="216" t="s">
        <v>162</v>
      </c>
      <c r="C38" s="216"/>
      <c r="D38" s="216"/>
      <c r="E38" s="216"/>
      <c r="F38" s="216"/>
      <c r="G38" s="216"/>
      <c r="H38" s="216"/>
      <c r="I38" s="216"/>
      <c r="J38" s="216"/>
      <c r="K38" s="216"/>
      <c r="L38" s="216"/>
      <c r="M38" s="216"/>
      <c r="N38" s="216"/>
      <c r="O38" s="111" t="s">
        <v>61</v>
      </c>
      <c r="P38" s="22">
        <f>'Other Deduction'!E10</f>
        <v>0</v>
      </c>
    </row>
    <row r="39" spans="1:16" s="13" customFormat="1" ht="16.5" customHeight="1">
      <c r="A39" s="173"/>
      <c r="B39" s="216" t="s">
        <v>161</v>
      </c>
      <c r="C39" s="216"/>
      <c r="D39" s="216"/>
      <c r="E39" s="216"/>
      <c r="F39" s="216"/>
      <c r="G39" s="216"/>
      <c r="H39" s="216"/>
      <c r="I39" s="216"/>
      <c r="J39" s="216"/>
      <c r="K39" s="216"/>
      <c r="L39" s="216"/>
      <c r="M39" s="216"/>
      <c r="N39" s="216"/>
      <c r="O39" s="111" t="s">
        <v>61</v>
      </c>
      <c r="P39" s="22">
        <f>'Other Deduction'!E11</f>
        <v>0</v>
      </c>
    </row>
    <row r="40" spans="1:16" s="13" customFormat="1" ht="16.5" customHeight="1">
      <c r="A40" s="173"/>
      <c r="B40" s="216" t="s">
        <v>160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111" t="s">
        <v>61</v>
      </c>
      <c r="P40" s="22">
        <f>'Other Deduction'!E12</f>
        <v>0</v>
      </c>
    </row>
    <row r="41" spans="1:16" s="13" customFormat="1" ht="15" customHeight="1">
      <c r="A41" s="173"/>
      <c r="B41" s="213" t="s">
        <v>159</v>
      </c>
      <c r="C41" s="214"/>
      <c r="D41" s="214"/>
      <c r="E41" s="214"/>
      <c r="F41" s="214"/>
      <c r="G41" s="214"/>
      <c r="H41" s="214"/>
      <c r="I41" s="214"/>
      <c r="J41" s="214"/>
      <c r="K41" s="214"/>
      <c r="L41" s="214"/>
      <c r="M41" s="214"/>
      <c r="N41" s="215"/>
      <c r="O41" s="111" t="s">
        <v>61</v>
      </c>
      <c r="P41" s="22">
        <f>'Other Deduction'!E13</f>
        <v>0</v>
      </c>
    </row>
    <row r="42" spans="1:16" s="13" customFormat="1" ht="17.25" customHeight="1">
      <c r="A42" s="173"/>
      <c r="B42" s="217" t="s">
        <v>158</v>
      </c>
      <c r="C42" s="218"/>
      <c r="D42" s="218"/>
      <c r="E42" s="218"/>
      <c r="F42" s="218"/>
      <c r="G42" s="218"/>
      <c r="H42" s="218"/>
      <c r="I42" s="218"/>
      <c r="J42" s="218"/>
      <c r="K42" s="218"/>
      <c r="L42" s="218"/>
      <c r="M42" s="218"/>
      <c r="N42" s="219"/>
      <c r="O42" s="111" t="s">
        <v>61</v>
      </c>
      <c r="P42" s="22">
        <f>IF('Salary Sheet'!E1&lt;&gt;"Yes",IF('Other Deduction'!E3&lt;50001,'Other Deduction'!E3,50000),IF('Other Deduction'!E3&lt;10001,'Other Deduction'!E3,10000))</f>
        <v>0</v>
      </c>
    </row>
    <row r="43" spans="1:16" s="13" customFormat="1" ht="15.75" customHeight="1">
      <c r="A43" s="173"/>
      <c r="B43" s="217" t="s">
        <v>157</v>
      </c>
      <c r="C43" s="218"/>
      <c r="D43" s="218"/>
      <c r="E43" s="218"/>
      <c r="F43" s="218"/>
      <c r="G43" s="218"/>
      <c r="H43" s="218"/>
      <c r="I43" s="218"/>
      <c r="J43" s="218"/>
      <c r="K43" s="218"/>
      <c r="L43" s="218"/>
      <c r="M43" s="218"/>
      <c r="N43" s="219"/>
      <c r="O43" s="111" t="s">
        <v>61</v>
      </c>
      <c r="P43" s="22">
        <f>'Other Deduction'!E14</f>
        <v>0</v>
      </c>
    </row>
    <row r="44" spans="1:16" s="13" customFormat="1" ht="15" customHeight="1">
      <c r="A44" s="174"/>
      <c r="B44" s="207" t="s">
        <v>92</v>
      </c>
      <c r="C44" s="207"/>
      <c r="D44" s="207"/>
      <c r="E44" s="207"/>
      <c r="F44" s="207"/>
      <c r="G44" s="207"/>
      <c r="H44" s="207"/>
      <c r="I44" s="207"/>
      <c r="J44" s="207"/>
      <c r="K44" s="207"/>
      <c r="L44" s="207"/>
      <c r="M44" s="207"/>
      <c r="N44" s="207"/>
      <c r="O44" s="111" t="s">
        <v>61</v>
      </c>
      <c r="P44" s="23">
        <v>0</v>
      </c>
    </row>
    <row r="45" spans="1:16" s="13" customFormat="1" ht="15" customHeight="1">
      <c r="A45" s="80">
        <v>13</v>
      </c>
      <c r="B45" s="197" t="s">
        <v>93</v>
      </c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11" t="s">
        <v>61</v>
      </c>
      <c r="P45" s="22">
        <f>P34+P44</f>
        <v>76162</v>
      </c>
    </row>
    <row r="46" spans="1:16" s="13" customFormat="1" ht="15" customHeight="1">
      <c r="A46" s="80">
        <v>14</v>
      </c>
      <c r="B46" s="175" t="s">
        <v>94</v>
      </c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11" t="s">
        <v>61</v>
      </c>
      <c r="P46" s="22">
        <f>(P18-P45)</f>
        <v>793586</v>
      </c>
    </row>
    <row r="47" spans="1:16" s="13" customFormat="1">
      <c r="A47" s="80">
        <v>15</v>
      </c>
      <c r="B47" s="197" t="s">
        <v>95</v>
      </c>
      <c r="C47" s="197"/>
      <c r="D47" s="197"/>
      <c r="E47" s="197"/>
      <c r="F47" s="197"/>
      <c r="G47" s="197"/>
      <c r="H47" s="197"/>
      <c r="I47" s="197"/>
      <c r="J47" s="197"/>
      <c r="K47" s="197"/>
      <c r="L47" s="197"/>
      <c r="M47" s="197"/>
      <c r="N47" s="197"/>
      <c r="O47" s="111" t="s">
        <v>61</v>
      </c>
      <c r="P47" s="21">
        <f>ROUND(P46,-1)</f>
        <v>793590</v>
      </c>
    </row>
    <row r="48" spans="1:16" s="13" customFormat="1" ht="15" customHeight="1">
      <c r="A48" s="172">
        <v>16</v>
      </c>
      <c r="B48" s="175" t="s">
        <v>96</v>
      </c>
      <c r="C48" s="175"/>
      <c r="D48" s="175"/>
      <c r="E48" s="175"/>
      <c r="F48" s="175"/>
      <c r="G48" s="175"/>
      <c r="H48" s="175"/>
      <c r="I48" s="175"/>
      <c r="J48" s="175"/>
      <c r="K48" s="175"/>
      <c r="L48" s="175"/>
      <c r="M48" s="175"/>
      <c r="N48" s="175"/>
      <c r="O48" s="175"/>
      <c r="P48" s="176"/>
    </row>
    <row r="49" spans="1:16" s="13" customFormat="1" ht="15" customHeight="1">
      <c r="A49" s="173"/>
      <c r="B49" s="177" t="s">
        <v>98</v>
      </c>
      <c r="C49" s="177"/>
      <c r="D49" s="177"/>
      <c r="E49" s="177"/>
      <c r="F49" s="177"/>
      <c r="G49" s="177" t="s">
        <v>97</v>
      </c>
      <c r="H49" s="177"/>
      <c r="I49" s="177"/>
      <c r="J49" s="177"/>
      <c r="K49" s="178" t="s">
        <v>99</v>
      </c>
      <c r="L49" s="179"/>
      <c r="M49" s="179"/>
      <c r="N49" s="180"/>
      <c r="O49" s="8"/>
      <c r="P49" s="24"/>
    </row>
    <row r="50" spans="1:16" s="13" customFormat="1" ht="15" customHeight="1">
      <c r="A50" s="173"/>
      <c r="B50" s="181" t="s">
        <v>100</v>
      </c>
      <c r="C50" s="182"/>
      <c r="D50" s="183"/>
      <c r="E50" s="185" t="s">
        <v>19</v>
      </c>
      <c r="F50" s="185"/>
      <c r="G50" s="181" t="s">
        <v>100</v>
      </c>
      <c r="H50" s="182"/>
      <c r="I50" s="183"/>
      <c r="J50" s="129" t="s">
        <v>19</v>
      </c>
      <c r="K50" s="181" t="s">
        <v>100</v>
      </c>
      <c r="L50" s="182"/>
      <c r="M50" s="183"/>
      <c r="N50" s="129" t="s">
        <v>19</v>
      </c>
      <c r="O50" s="130" t="s">
        <v>61</v>
      </c>
      <c r="P50" s="25">
        <v>0</v>
      </c>
    </row>
    <row r="51" spans="1:16" s="13" customFormat="1" ht="15" customHeight="1">
      <c r="A51" s="173"/>
      <c r="B51" s="181" t="s">
        <v>20</v>
      </c>
      <c r="C51" s="182"/>
      <c r="D51" s="183"/>
      <c r="E51" s="184">
        <v>0.05</v>
      </c>
      <c r="F51" s="185"/>
      <c r="G51" s="181" t="s">
        <v>20</v>
      </c>
      <c r="H51" s="182"/>
      <c r="I51" s="183"/>
      <c r="J51" s="128">
        <v>0.05</v>
      </c>
      <c r="K51" s="181" t="s">
        <v>20</v>
      </c>
      <c r="L51" s="182"/>
      <c r="M51" s="183"/>
      <c r="N51" s="128">
        <v>0.05</v>
      </c>
      <c r="O51" s="130" t="s">
        <v>61</v>
      </c>
      <c r="P51" s="25">
        <f>ROUND(IF('Salary Sheet'!E1&lt;&gt;"Yes",IF(P47&lt;250001,0,IF(P47&gt;500000,12500,((P47-250000)*0.05))),IF(P47&lt;300001,0,IF(P47&gt;500000,10000,((P47-300000)*0.05)))),0)</f>
        <v>12500</v>
      </c>
    </row>
    <row r="52" spans="1:16" s="13" customFormat="1" ht="15" customHeight="1">
      <c r="A52" s="173"/>
      <c r="B52" s="181" t="s">
        <v>193</v>
      </c>
      <c r="C52" s="182"/>
      <c r="D52" s="183"/>
      <c r="E52" s="184">
        <v>0.1</v>
      </c>
      <c r="F52" s="185"/>
      <c r="G52" s="181" t="s">
        <v>193</v>
      </c>
      <c r="H52" s="182"/>
      <c r="I52" s="183"/>
      <c r="J52" s="128">
        <v>0.1</v>
      </c>
      <c r="K52" s="181" t="s">
        <v>193</v>
      </c>
      <c r="L52" s="182"/>
      <c r="M52" s="183"/>
      <c r="N52" s="128">
        <v>0.1</v>
      </c>
      <c r="O52" s="130" t="s">
        <v>61</v>
      </c>
      <c r="P52" s="25">
        <f>IF(P46&lt;500001,0,IF(P47&gt;750000,25000,((P47-500000)*0.1)))</f>
        <v>25000</v>
      </c>
    </row>
    <row r="53" spans="1:16" s="13" customFormat="1" ht="15" customHeight="1">
      <c r="A53" s="173"/>
      <c r="B53" s="181" t="s">
        <v>194</v>
      </c>
      <c r="C53" s="182"/>
      <c r="D53" s="183"/>
      <c r="E53" s="289">
        <v>0.15</v>
      </c>
      <c r="F53" s="290"/>
      <c r="G53" s="181" t="s">
        <v>194</v>
      </c>
      <c r="H53" s="182"/>
      <c r="I53" s="183"/>
      <c r="J53" s="128">
        <v>0.15</v>
      </c>
      <c r="K53" s="181" t="s">
        <v>194</v>
      </c>
      <c r="L53" s="182"/>
      <c r="M53" s="183"/>
      <c r="N53" s="128">
        <v>0.15</v>
      </c>
      <c r="O53" s="111" t="s">
        <v>61</v>
      </c>
      <c r="P53" s="25">
        <f>IF(P47&lt;750001,0,IF(P47&gt;1000000,37500,((P47-750000)*0.15)))</f>
        <v>6538.5</v>
      </c>
    </row>
    <row r="54" spans="1:16" s="13" customFormat="1" ht="15" customHeight="1">
      <c r="A54" s="173"/>
      <c r="B54" s="181" t="s">
        <v>195</v>
      </c>
      <c r="C54" s="182"/>
      <c r="D54" s="183"/>
      <c r="E54" s="289">
        <v>0.2</v>
      </c>
      <c r="F54" s="290"/>
      <c r="G54" s="181" t="s">
        <v>195</v>
      </c>
      <c r="H54" s="182"/>
      <c r="I54" s="183"/>
      <c r="J54" s="128">
        <v>0.2</v>
      </c>
      <c r="K54" s="181" t="s">
        <v>195</v>
      </c>
      <c r="L54" s="182"/>
      <c r="M54" s="183"/>
      <c r="N54" s="128">
        <v>0.2</v>
      </c>
      <c r="O54" s="111" t="s">
        <v>61</v>
      </c>
      <c r="P54" s="25">
        <f>IF(P46&lt;1000001,0,IF(P47&gt;1250000,50000,((P47-1000000)*0.2)))</f>
        <v>0</v>
      </c>
    </row>
    <row r="55" spans="1:16" s="13" customFormat="1" ht="15" customHeight="1">
      <c r="A55" s="173"/>
      <c r="B55" s="181" t="s">
        <v>196</v>
      </c>
      <c r="C55" s="182"/>
      <c r="D55" s="183"/>
      <c r="E55" s="184">
        <v>0.25</v>
      </c>
      <c r="F55" s="185"/>
      <c r="G55" s="181" t="s">
        <v>196</v>
      </c>
      <c r="H55" s="182"/>
      <c r="I55" s="183"/>
      <c r="J55" s="128">
        <v>0.25</v>
      </c>
      <c r="K55" s="181" t="s">
        <v>196</v>
      </c>
      <c r="L55" s="182"/>
      <c r="M55" s="183"/>
      <c r="N55" s="128">
        <v>0.25</v>
      </c>
      <c r="O55" s="111" t="s">
        <v>61</v>
      </c>
      <c r="P55" s="25">
        <f>IF(P46&lt;1250001,0,IF(P47&gt;1500000,62500,((P47-1250000)*0.25)))</f>
        <v>0</v>
      </c>
    </row>
    <row r="56" spans="1:16" s="13" customFormat="1" ht="15" customHeight="1">
      <c r="A56" s="173"/>
      <c r="B56" s="181" t="s">
        <v>197</v>
      </c>
      <c r="C56" s="182"/>
      <c r="D56" s="183"/>
      <c r="E56" s="184">
        <v>0.3</v>
      </c>
      <c r="F56" s="185"/>
      <c r="G56" s="181" t="s">
        <v>197</v>
      </c>
      <c r="H56" s="182"/>
      <c r="I56" s="183"/>
      <c r="J56" s="128">
        <v>0.3</v>
      </c>
      <c r="K56" s="181" t="s">
        <v>197</v>
      </c>
      <c r="L56" s="182"/>
      <c r="M56" s="183"/>
      <c r="N56" s="128">
        <v>0.3</v>
      </c>
      <c r="O56" s="111" t="s">
        <v>61</v>
      </c>
      <c r="P56" s="25">
        <f>IF(P46&lt;1500001,0,((P47-1500000)*0.3))</f>
        <v>0</v>
      </c>
    </row>
    <row r="57" spans="1:16" s="13" customFormat="1" ht="15" customHeight="1">
      <c r="A57" s="173"/>
      <c r="B57" s="165" t="s">
        <v>105</v>
      </c>
      <c r="C57" s="166"/>
      <c r="D57" s="166"/>
      <c r="E57" s="166"/>
      <c r="F57" s="166"/>
      <c r="G57" s="166"/>
      <c r="H57" s="166"/>
      <c r="I57" s="166"/>
      <c r="J57" s="166"/>
      <c r="K57" s="166"/>
      <c r="L57" s="166"/>
      <c r="M57" s="166"/>
      <c r="N57" s="167"/>
      <c r="O57" s="111" t="s">
        <v>61</v>
      </c>
      <c r="P57" s="21">
        <f>SUM(P53:P56)</f>
        <v>6538.5</v>
      </c>
    </row>
    <row r="58" spans="1:16" s="13" customFormat="1" ht="15" customHeight="1">
      <c r="A58" s="173"/>
      <c r="B58" s="165" t="s">
        <v>106</v>
      </c>
      <c r="C58" s="166"/>
      <c r="D58" s="166"/>
      <c r="E58" s="166"/>
      <c r="F58" s="166"/>
      <c r="G58" s="166"/>
      <c r="H58" s="166"/>
      <c r="I58" s="166"/>
      <c r="J58" s="166"/>
      <c r="K58" s="166"/>
      <c r="L58" s="166"/>
      <c r="M58" s="166"/>
      <c r="N58" s="167"/>
      <c r="O58" s="111" t="s">
        <v>61</v>
      </c>
      <c r="P58" s="22">
        <f>IF(P47&gt;500000,0,IF(P57&lt;12501,P57,12500))</f>
        <v>0</v>
      </c>
    </row>
    <row r="59" spans="1:16" s="13" customFormat="1" ht="15" customHeight="1">
      <c r="A59" s="173"/>
      <c r="B59" s="165" t="s">
        <v>107</v>
      </c>
      <c r="C59" s="166"/>
      <c r="D59" s="166"/>
      <c r="E59" s="166"/>
      <c r="F59" s="166"/>
      <c r="G59" s="166"/>
      <c r="H59" s="166"/>
      <c r="I59" s="166"/>
      <c r="J59" s="166"/>
      <c r="K59" s="166"/>
      <c r="L59" s="166"/>
      <c r="M59" s="166"/>
      <c r="N59" s="167"/>
      <c r="O59" s="111" t="s">
        <v>61</v>
      </c>
      <c r="P59" s="21">
        <f>P57-P58</f>
        <v>6538.5</v>
      </c>
    </row>
    <row r="60" spans="1:16" s="13" customFormat="1" ht="15" customHeight="1">
      <c r="A60" s="173"/>
      <c r="B60" s="168" t="s">
        <v>108</v>
      </c>
      <c r="C60" s="168"/>
      <c r="D60" s="168"/>
      <c r="E60" s="168"/>
      <c r="F60" s="168"/>
      <c r="G60" s="168"/>
      <c r="H60" s="168"/>
      <c r="I60" s="168"/>
      <c r="J60" s="168"/>
      <c r="K60" s="168"/>
      <c r="L60" s="168"/>
      <c r="M60" s="168"/>
      <c r="N60" s="168"/>
      <c r="O60" s="111" t="s">
        <v>61</v>
      </c>
      <c r="P60" s="22">
        <f>ROUND(P59*0.04,0)</f>
        <v>262</v>
      </c>
    </row>
    <row r="61" spans="1:16" s="13" customFormat="1" ht="15" customHeight="1">
      <c r="A61" s="174"/>
      <c r="B61" s="169" t="s">
        <v>109</v>
      </c>
      <c r="C61" s="170"/>
      <c r="D61" s="170"/>
      <c r="E61" s="170"/>
      <c r="F61" s="170"/>
      <c r="G61" s="170"/>
      <c r="H61" s="170"/>
      <c r="I61" s="170"/>
      <c r="J61" s="170"/>
      <c r="K61" s="170"/>
      <c r="L61" s="170"/>
      <c r="M61" s="170"/>
      <c r="N61" s="171"/>
      <c r="O61" s="111" t="s">
        <v>61</v>
      </c>
      <c r="P61" s="21">
        <f>SUM(P59:P60)</f>
        <v>6800.5</v>
      </c>
    </row>
    <row r="62" spans="1:16" s="13" customFormat="1" ht="15" customHeight="1">
      <c r="A62" s="80">
        <v>17</v>
      </c>
      <c r="B62" s="194" t="s">
        <v>110</v>
      </c>
      <c r="C62" s="195"/>
      <c r="D62" s="195"/>
      <c r="E62" s="195"/>
      <c r="F62" s="195"/>
      <c r="G62" s="195"/>
      <c r="H62" s="195"/>
      <c r="I62" s="195"/>
      <c r="J62" s="195"/>
      <c r="K62" s="195"/>
      <c r="L62" s="195"/>
      <c r="M62" s="195"/>
      <c r="N62" s="196"/>
      <c r="O62" s="111" t="s">
        <v>61</v>
      </c>
      <c r="P62" s="22">
        <f>'Other Deduction'!E17</f>
        <v>0</v>
      </c>
    </row>
    <row r="63" spans="1:16" s="13" customFormat="1" ht="15" customHeight="1">
      <c r="A63" s="80">
        <v>18</v>
      </c>
      <c r="B63" s="197" t="s">
        <v>111</v>
      </c>
      <c r="C63" s="197"/>
      <c r="D63" s="197"/>
      <c r="E63" s="197"/>
      <c r="F63" s="197"/>
      <c r="G63" s="197"/>
      <c r="H63" s="197"/>
      <c r="I63" s="197"/>
      <c r="J63" s="197"/>
      <c r="K63" s="197"/>
      <c r="L63" s="197"/>
      <c r="M63" s="197"/>
      <c r="N63" s="197"/>
      <c r="O63" s="111" t="s">
        <v>61</v>
      </c>
      <c r="P63" s="21">
        <f>P61-P62</f>
        <v>6800.5</v>
      </c>
    </row>
    <row r="64" spans="1:16" ht="33.75" customHeight="1">
      <c r="A64" s="172">
        <v>19</v>
      </c>
      <c r="B64" s="200" t="s">
        <v>112</v>
      </c>
      <c r="C64" s="201"/>
      <c r="D64" s="202"/>
      <c r="E64" s="198" t="s">
        <v>113</v>
      </c>
      <c r="F64" s="198"/>
      <c r="G64" s="198"/>
      <c r="H64" s="198"/>
      <c r="I64" s="187" t="s">
        <v>114</v>
      </c>
      <c r="J64" s="199"/>
      <c r="K64" s="78" t="s">
        <v>115</v>
      </c>
      <c r="L64" s="187" t="s">
        <v>116</v>
      </c>
      <c r="M64" s="199"/>
      <c r="N64" s="78" t="s">
        <v>117</v>
      </c>
      <c r="O64" s="187" t="s">
        <v>118</v>
      </c>
      <c r="P64" s="188"/>
    </row>
    <row r="65" spans="1:17">
      <c r="A65" s="174"/>
      <c r="B65" s="203"/>
      <c r="C65" s="204"/>
      <c r="D65" s="205"/>
      <c r="E65" s="189">
        <f>SUM('Salary Sheet'!V8:V14)</f>
        <v>35000</v>
      </c>
      <c r="F65" s="189"/>
      <c r="G65" s="189"/>
      <c r="H65" s="189"/>
      <c r="I65" s="189">
        <f>SUM('Salary Sheet'!V15:V17)</f>
        <v>15000</v>
      </c>
      <c r="J65" s="189"/>
      <c r="K65" s="113">
        <f>'Salary Sheet'!V18</f>
        <v>5000</v>
      </c>
      <c r="L65" s="189">
        <f>'Salary Sheet'!V19</f>
        <v>5000</v>
      </c>
      <c r="M65" s="189"/>
      <c r="N65" s="42">
        <f>SUM('Salary Sheet'!V20:V27)+'Other Deduction'!E18</f>
        <v>0</v>
      </c>
      <c r="O65" s="190">
        <f>E65+I65+K65+L65+N65</f>
        <v>60000</v>
      </c>
      <c r="P65" s="191"/>
    </row>
    <row r="66" spans="1:17" ht="16.5" thickBot="1">
      <c r="A66" s="192" t="str">
        <f>IF(P63&gt;O65,"Income Tax Payable",IF(P63&lt;O65,"Income Tax Refundable","Income Tax Payble/Refundable"))</f>
        <v>Income Tax Refundable</v>
      </c>
      <c r="B66" s="193"/>
      <c r="C66" s="193"/>
      <c r="D66" s="193"/>
      <c r="E66" s="193"/>
      <c r="F66" s="193"/>
      <c r="G66" s="193"/>
      <c r="H66" s="193"/>
      <c r="I66" s="193"/>
      <c r="J66" s="193"/>
      <c r="K66" s="193"/>
      <c r="L66" s="193"/>
      <c r="M66" s="193"/>
      <c r="N66" s="193"/>
      <c r="O66" s="111" t="s">
        <v>61</v>
      </c>
      <c r="P66" s="26">
        <f>IF(P63&gt;O65,P63-O65,O65-P63)</f>
        <v>53199.5</v>
      </c>
    </row>
    <row r="67" spans="1:17">
      <c r="A67" s="81"/>
      <c r="B67" s="81"/>
      <c r="C67" s="8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2"/>
      <c r="P67" s="28"/>
    </row>
    <row r="68" spans="1:17">
      <c r="A68" s="83"/>
      <c r="B68" s="269" t="s">
        <v>120</v>
      </c>
      <c r="C68" s="269"/>
      <c r="D68" s="269"/>
      <c r="E68" s="269"/>
      <c r="F68" s="84"/>
      <c r="G68" s="84"/>
      <c r="H68" s="84"/>
      <c r="I68" s="84"/>
      <c r="J68" s="84"/>
      <c r="K68" s="84"/>
      <c r="L68" s="269" t="s">
        <v>24</v>
      </c>
      <c r="M68" s="269"/>
      <c r="N68" s="269"/>
      <c r="O68" s="269"/>
      <c r="P68" s="85"/>
    </row>
    <row r="69" spans="1:17">
      <c r="A69" s="269"/>
      <c r="B69" s="269"/>
      <c r="C69" s="269"/>
      <c r="D69" s="269"/>
      <c r="E69" s="84"/>
      <c r="F69" s="84"/>
      <c r="G69" s="84"/>
      <c r="H69" s="84"/>
      <c r="I69" s="84"/>
      <c r="J69" s="84"/>
      <c r="K69" s="84"/>
      <c r="L69" s="84"/>
      <c r="M69" s="269"/>
      <c r="N69" s="269"/>
      <c r="O69" s="269"/>
      <c r="P69" s="269"/>
    </row>
    <row r="70" spans="1:17" s="43" customFormat="1" ht="15.75" hidden="1" customHeight="1">
      <c r="A70" s="86"/>
      <c r="B70" s="186"/>
      <c r="C70" s="186"/>
      <c r="D70" s="186"/>
      <c r="E70" s="186"/>
      <c r="F70" s="186"/>
      <c r="G70" s="186"/>
      <c r="H70" s="186"/>
      <c r="I70" s="186"/>
      <c r="J70" s="186"/>
      <c r="K70" s="186"/>
      <c r="L70" s="186"/>
      <c r="M70" s="186"/>
      <c r="N70" s="186"/>
      <c r="O70" s="186"/>
      <c r="P70" s="186"/>
    </row>
    <row r="71" spans="1:17" s="43" customFormat="1" ht="15.75" hidden="1" customHeight="1">
      <c r="A71" s="87"/>
      <c r="B71" s="186"/>
      <c r="C71" s="186"/>
      <c r="D71" s="186"/>
      <c r="E71" s="186"/>
      <c r="F71" s="186"/>
      <c r="G71" s="186"/>
      <c r="H71" s="186"/>
      <c r="I71" s="186"/>
      <c r="J71" s="186"/>
      <c r="K71" s="186"/>
      <c r="L71" s="186"/>
      <c r="M71" s="186"/>
      <c r="N71" s="186"/>
      <c r="O71" s="186"/>
      <c r="P71" s="186"/>
    </row>
    <row r="72" spans="1:17" s="43" customFormat="1" ht="24" hidden="1" customHeight="1">
      <c r="A72" s="86"/>
      <c r="B72" s="186"/>
      <c r="C72" s="186"/>
      <c r="D72" s="186"/>
      <c r="E72" s="186"/>
      <c r="F72" s="186"/>
      <c r="G72" s="186"/>
      <c r="H72" s="186"/>
      <c r="I72" s="186"/>
      <c r="J72" s="186"/>
      <c r="K72" s="186"/>
      <c r="L72" s="186"/>
      <c r="M72" s="186"/>
      <c r="N72" s="186"/>
      <c r="O72" s="186"/>
      <c r="P72" s="186"/>
    </row>
    <row r="73" spans="1:17" s="43" customFormat="1" ht="15.75" hidden="1" customHeight="1">
      <c r="A73" s="86"/>
      <c r="B73" s="88"/>
      <c r="C73" s="88"/>
      <c r="D73" s="88"/>
      <c r="E73" s="88"/>
      <c r="F73" s="88"/>
      <c r="G73" s="88"/>
      <c r="H73" s="88"/>
      <c r="I73" s="88"/>
      <c r="J73" s="88"/>
      <c r="K73" s="164"/>
      <c r="L73" s="164"/>
      <c r="M73" s="164"/>
      <c r="N73" s="164"/>
      <c r="O73" s="164"/>
      <c r="P73" s="164"/>
    </row>
    <row r="74" spans="1:17" s="43" customFormat="1" ht="15.75" hidden="1" customHeight="1">
      <c r="A74" s="86"/>
      <c r="B74" s="88"/>
      <c r="C74" s="88"/>
      <c r="D74" s="88"/>
      <c r="E74" s="88"/>
      <c r="F74" s="88"/>
      <c r="G74" s="88"/>
      <c r="H74" s="88"/>
      <c r="I74" s="88"/>
      <c r="J74" s="88"/>
      <c r="K74" s="164"/>
      <c r="L74" s="164"/>
      <c r="M74" s="164"/>
      <c r="N74" s="164"/>
      <c r="O74" s="164"/>
      <c r="P74" s="164"/>
    </row>
    <row r="75" spans="1:17" s="43" customFormat="1" ht="15.75" hidden="1" customHeight="1">
      <c r="A75" s="86"/>
      <c r="B75" s="88"/>
      <c r="C75" s="88"/>
      <c r="D75" s="88"/>
      <c r="E75" s="88"/>
      <c r="F75" s="88"/>
      <c r="G75" s="88"/>
      <c r="H75" s="88"/>
      <c r="I75" s="88"/>
      <c r="J75" s="88"/>
      <c r="K75" s="164"/>
      <c r="L75" s="164"/>
      <c r="M75" s="164"/>
      <c r="N75" s="164"/>
      <c r="O75" s="164"/>
      <c r="P75" s="164"/>
    </row>
    <row r="76" spans="1:17" s="43" customFormat="1" ht="15.75" hidden="1" customHeight="1">
      <c r="A76" s="86"/>
      <c r="B76" s="88"/>
      <c r="C76" s="88"/>
      <c r="D76" s="88"/>
      <c r="E76" s="88"/>
      <c r="F76" s="88"/>
      <c r="G76" s="88"/>
      <c r="H76" s="88"/>
      <c r="I76" s="88"/>
      <c r="J76" s="88"/>
      <c r="K76" s="164"/>
      <c r="L76" s="164"/>
      <c r="M76" s="164"/>
      <c r="N76" s="164"/>
      <c r="O76" s="164"/>
      <c r="P76" s="164"/>
    </row>
    <row r="77" spans="1:17" s="43" customFormat="1" ht="15.75" hidden="1" customHeight="1">
      <c r="A77" s="86"/>
      <c r="B77" s="88"/>
      <c r="C77" s="88"/>
      <c r="D77" s="88"/>
      <c r="E77" s="88"/>
      <c r="F77" s="88"/>
      <c r="G77" s="88"/>
      <c r="H77" s="88"/>
      <c r="I77" s="88"/>
      <c r="J77" s="88"/>
      <c r="K77" s="164"/>
      <c r="L77" s="164"/>
      <c r="M77" s="164"/>
      <c r="N77" s="164"/>
      <c r="O77" s="164"/>
      <c r="P77" s="164"/>
    </row>
    <row r="78" spans="1:17" s="43" customFormat="1" hidden="1">
      <c r="A78" s="87"/>
      <c r="B78" s="89"/>
      <c r="C78" s="255"/>
      <c r="D78" s="255"/>
      <c r="E78" s="255"/>
      <c r="F78" s="255"/>
      <c r="G78" s="255"/>
      <c r="H78" s="255"/>
      <c r="I78" s="255"/>
      <c r="J78" s="89"/>
      <c r="K78" s="164"/>
      <c r="L78" s="164"/>
      <c r="M78" s="164"/>
      <c r="N78" s="164"/>
      <c r="O78" s="164"/>
      <c r="P78" s="164"/>
    </row>
    <row r="79" spans="1:17" s="43" customFormat="1" hidden="1">
      <c r="A79" s="87"/>
      <c r="B79" s="89"/>
      <c r="C79" s="89"/>
      <c r="D79" s="89"/>
      <c r="E79" s="89"/>
      <c r="F79" s="89"/>
      <c r="G79" s="89"/>
      <c r="H79" s="89"/>
      <c r="I79" s="89"/>
      <c r="J79" s="89"/>
      <c r="K79" s="164"/>
      <c r="L79" s="164"/>
      <c r="M79" s="164"/>
      <c r="N79" s="164"/>
      <c r="O79" s="164"/>
      <c r="P79" s="164"/>
    </row>
    <row r="80" spans="1:17" hidden="1">
      <c r="A80" s="90"/>
      <c r="B80" s="91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2"/>
      <c r="P80" s="93"/>
      <c r="Q80" s="41"/>
    </row>
    <row r="81" spans="1:17" hidden="1">
      <c r="A81" s="90"/>
      <c r="B81" s="9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2"/>
      <c r="P81" s="93"/>
      <c r="Q81" s="41"/>
    </row>
    <row r="82" spans="1:17" hidden="1">
      <c r="A82" s="90"/>
      <c r="B82" s="91"/>
      <c r="C82" s="91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2"/>
      <c r="P82" s="93"/>
      <c r="Q82" s="41"/>
    </row>
    <row r="83" spans="1:17" hidden="1">
      <c r="A83" s="94"/>
      <c r="B83" s="95"/>
      <c r="C83" s="95"/>
      <c r="D83" s="95"/>
      <c r="E83" s="95"/>
      <c r="F83" s="95"/>
      <c r="G83" s="95"/>
      <c r="H83" s="95"/>
      <c r="I83" s="95"/>
      <c r="J83" s="95"/>
      <c r="K83" s="95"/>
      <c r="L83" s="95"/>
      <c r="M83" s="95"/>
      <c r="N83" s="95"/>
      <c r="O83" s="96"/>
      <c r="P83" s="97"/>
    </row>
    <row r="84" spans="1:17" hidden="1">
      <c r="A84" s="94"/>
      <c r="B84" s="95"/>
      <c r="C84" s="95"/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6"/>
      <c r="P84" s="97"/>
    </row>
    <row r="85" spans="1:17" hidden="1">
      <c r="A85" s="94"/>
      <c r="B85" s="95"/>
      <c r="C85" s="95"/>
      <c r="D85" s="95"/>
      <c r="E85" s="95"/>
      <c r="F85" s="95"/>
      <c r="G85" s="95"/>
      <c r="H85" s="95"/>
      <c r="I85" s="95"/>
      <c r="J85" s="95"/>
      <c r="K85" s="95"/>
      <c r="L85" s="95"/>
      <c r="M85" s="95"/>
      <c r="N85" s="95"/>
      <c r="O85" s="96"/>
      <c r="P85" s="97"/>
    </row>
    <row r="86" spans="1:17" hidden="1"/>
  </sheetData>
  <sheetProtection password="FC12" sheet="1" objects="1" scenarios="1"/>
  <mergeCells count="137">
    <mergeCell ref="A7:A10"/>
    <mergeCell ref="B7:K7"/>
    <mergeCell ref="L7:N7"/>
    <mergeCell ref="A1:P1"/>
    <mergeCell ref="A2:P2"/>
    <mergeCell ref="B3:C3"/>
    <mergeCell ref="D3:I3"/>
    <mergeCell ref="K3:M3"/>
    <mergeCell ref="O3:P3"/>
    <mergeCell ref="O7:P9"/>
    <mergeCell ref="B8:K8"/>
    <mergeCell ref="L8:N8"/>
    <mergeCell ref="B9:K9"/>
    <mergeCell ref="L9:N9"/>
    <mergeCell ref="B10:K10"/>
    <mergeCell ref="L10:N10"/>
    <mergeCell ref="B4:N4"/>
    <mergeCell ref="B5:N5"/>
    <mergeCell ref="B6:N6"/>
    <mergeCell ref="B11:N11"/>
    <mergeCell ref="A12:A14"/>
    <mergeCell ref="B12:I12"/>
    <mergeCell ref="J12:K12"/>
    <mergeCell ref="L12:N12"/>
    <mergeCell ref="O12:P14"/>
    <mergeCell ref="B13:C14"/>
    <mergeCell ref="D13:F13"/>
    <mergeCell ref="G13:I13"/>
    <mergeCell ref="J13:K13"/>
    <mergeCell ref="A19:A31"/>
    <mergeCell ref="B19:P19"/>
    <mergeCell ref="B20:P20"/>
    <mergeCell ref="C21:F21"/>
    <mergeCell ref="J21:L21"/>
    <mergeCell ref="O21:P30"/>
    <mergeCell ref="C22:F22"/>
    <mergeCell ref="L13:N13"/>
    <mergeCell ref="D14:F14"/>
    <mergeCell ref="G14:I14"/>
    <mergeCell ref="J14:K14"/>
    <mergeCell ref="L14:N14"/>
    <mergeCell ref="B15:N15"/>
    <mergeCell ref="J22:L22"/>
    <mergeCell ref="C23:F23"/>
    <mergeCell ref="J23:L23"/>
    <mergeCell ref="C24:F24"/>
    <mergeCell ref="J24:L24"/>
    <mergeCell ref="C25:F25"/>
    <mergeCell ref="J25:L25"/>
    <mergeCell ref="B16:N16"/>
    <mergeCell ref="B17:N17"/>
    <mergeCell ref="B18:N18"/>
    <mergeCell ref="C29:F29"/>
    <mergeCell ref="J29:L29"/>
    <mergeCell ref="B30:L30"/>
    <mergeCell ref="B31:N31"/>
    <mergeCell ref="B32:N32"/>
    <mergeCell ref="B33:N33"/>
    <mergeCell ref="C26:F26"/>
    <mergeCell ref="J26:L26"/>
    <mergeCell ref="C27:F27"/>
    <mergeCell ref="J27:L27"/>
    <mergeCell ref="C28:F28"/>
    <mergeCell ref="J28:L28"/>
    <mergeCell ref="B34:N34"/>
    <mergeCell ref="A35:A44"/>
    <mergeCell ref="B35:P35"/>
    <mergeCell ref="B36:N36"/>
    <mergeCell ref="B37:N37"/>
    <mergeCell ref="B38:N38"/>
    <mergeCell ref="B39:N39"/>
    <mergeCell ref="B40:N40"/>
    <mergeCell ref="B41:N41"/>
    <mergeCell ref="B42:N42"/>
    <mergeCell ref="B43:N43"/>
    <mergeCell ref="B44:N44"/>
    <mergeCell ref="B45:N45"/>
    <mergeCell ref="B46:N46"/>
    <mergeCell ref="B47:N47"/>
    <mergeCell ref="A48:A61"/>
    <mergeCell ref="B48:P48"/>
    <mergeCell ref="B49:F49"/>
    <mergeCell ref="G49:J49"/>
    <mergeCell ref="K49:N49"/>
    <mergeCell ref="B55:D55"/>
    <mergeCell ref="E55:F55"/>
    <mergeCell ref="G55:I55"/>
    <mergeCell ref="K55:M55"/>
    <mergeCell ref="B56:D56"/>
    <mergeCell ref="E56:F56"/>
    <mergeCell ref="G56:I56"/>
    <mergeCell ref="K56:M56"/>
    <mergeCell ref="B53:D53"/>
    <mergeCell ref="E53:F53"/>
    <mergeCell ref="G53:I53"/>
    <mergeCell ref="K53:M53"/>
    <mergeCell ref="B54:D54"/>
    <mergeCell ref="E54:F54"/>
    <mergeCell ref="G54:I54"/>
    <mergeCell ref="K54:M54"/>
    <mergeCell ref="B63:N63"/>
    <mergeCell ref="A64:A65"/>
    <mergeCell ref="B64:D65"/>
    <mergeCell ref="E64:H64"/>
    <mergeCell ref="I64:J64"/>
    <mergeCell ref="L64:M64"/>
    <mergeCell ref="B57:N57"/>
    <mergeCell ref="B58:N58"/>
    <mergeCell ref="B59:N59"/>
    <mergeCell ref="B60:N60"/>
    <mergeCell ref="B61:N61"/>
    <mergeCell ref="B62:N62"/>
    <mergeCell ref="B68:E68"/>
    <mergeCell ref="L68:O68"/>
    <mergeCell ref="A69:D69"/>
    <mergeCell ref="M69:P69"/>
    <mergeCell ref="B70:P72"/>
    <mergeCell ref="K73:P79"/>
    <mergeCell ref="C78:I78"/>
    <mergeCell ref="O64:P64"/>
    <mergeCell ref="E65:H65"/>
    <mergeCell ref="I65:J65"/>
    <mergeCell ref="L65:M65"/>
    <mergeCell ref="O65:P65"/>
    <mergeCell ref="A66:N66"/>
    <mergeCell ref="B50:D50"/>
    <mergeCell ref="E50:F50"/>
    <mergeCell ref="G50:I50"/>
    <mergeCell ref="K50:M50"/>
    <mergeCell ref="B51:D51"/>
    <mergeCell ref="E51:F51"/>
    <mergeCell ref="G51:I51"/>
    <mergeCell ref="K51:M51"/>
    <mergeCell ref="B52:D52"/>
    <mergeCell ref="E52:F52"/>
    <mergeCell ref="G52:I52"/>
    <mergeCell ref="K52:M52"/>
  </mergeCells>
  <printOptions horizontalCentered="1"/>
  <pageMargins left="0.39370078740157499" right="0.23622047244094499" top="0.23622047244094499" bottom="0.27559055118110198" header="0.196850393700787" footer="0.23622047244094499"/>
  <pageSetup paperSize="9" scale="75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Salary Sheet</vt:lpstr>
      <vt:lpstr>Other Deduction</vt:lpstr>
      <vt:lpstr>Tax Old Regime</vt:lpstr>
      <vt:lpstr>Tax New Regime</vt:lpstr>
      <vt:lpstr>'Salary Sheet'!Print_Area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2022-10-08T19:57:43Z</cp:lastPrinted>
  <dcterms:created xsi:type="dcterms:W3CDTF">2013-12-06T08:14:36Z</dcterms:created>
  <dcterms:modified xsi:type="dcterms:W3CDTF">2023-02-25T14:43:43Z</dcterms:modified>
</cp:coreProperties>
</file>