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O25" i="3"/>
  <c r="Q39"/>
  <c r="Q7" i="8"/>
  <c r="Q6" i="3"/>
  <c r="Q43"/>
  <c r="Q41"/>
  <c r="F18" i="9"/>
  <c r="P9" i="2"/>
  <c r="H10"/>
  <c r="Q44" i="3" l="1"/>
  <c r="D25" i="2"/>
  <c r="O25" s="1"/>
  <c r="I10"/>
  <c r="O10"/>
  <c r="O9"/>
  <c r="AA24" l="1"/>
  <c r="AA26"/>
  <c r="AA27"/>
  <c r="AA28"/>
  <c r="AA29"/>
  <c r="AA30"/>
  <c r="A147" i="9" l="1"/>
  <c r="G146"/>
  <c r="A64"/>
  <c r="B63"/>
  <c r="B146"/>
  <c r="G8"/>
  <c r="G7"/>
  <c r="A7"/>
  <c r="Z31" i="2"/>
  <c r="Q32" i="8" l="1"/>
  <c r="Q32" i="3"/>
  <c r="K141" i="9" l="1"/>
  <c r="B40" l="1"/>
  <c r="B28"/>
  <c r="A9"/>
  <c r="G9" s="1"/>
  <c r="G12"/>
  <c r="D12"/>
  <c r="K137"/>
  <c r="I131"/>
  <c r="K131" s="1"/>
  <c r="I130"/>
  <c r="K130" s="1"/>
  <c r="G129"/>
  <c r="I129" s="1"/>
  <c r="K129" s="1"/>
  <c r="G125"/>
  <c r="I125" s="1"/>
  <c r="K125" s="1"/>
  <c r="I124"/>
  <c r="K124" s="1"/>
  <c r="I120"/>
  <c r="K120" s="1"/>
  <c r="I119"/>
  <c r="K119" s="1"/>
  <c r="L106"/>
  <c r="B61" l="1"/>
  <c r="A8"/>
  <c r="H155" l="1"/>
  <c r="H156"/>
  <c r="O28" i="8"/>
  <c r="I28"/>
  <c r="O27"/>
  <c r="I27"/>
  <c r="O26"/>
  <c r="O25"/>
  <c r="I25"/>
  <c r="O24"/>
  <c r="I24"/>
  <c r="O23"/>
  <c r="I23"/>
  <c r="O22"/>
  <c r="O21"/>
  <c r="O22" i="3"/>
  <c r="O26"/>
  <c r="O28"/>
  <c r="O27"/>
  <c r="O24"/>
  <c r="O23"/>
  <c r="O21"/>
  <c r="S10" i="2"/>
  <c r="H22"/>
  <c r="O22" s="1"/>
  <c r="AA22" s="1"/>
  <c r="N26"/>
  <c r="AB26" s="1"/>
  <c r="N27"/>
  <c r="AB27" s="1"/>
  <c r="N28"/>
  <c r="AB28" s="1"/>
  <c r="N29"/>
  <c r="AB29" s="1"/>
  <c r="N30"/>
  <c r="AB30" s="1"/>
  <c r="I27" i="3"/>
  <c r="G116" i="9" s="1"/>
  <c r="I116" s="1"/>
  <c r="K116" s="1"/>
  <c r="AA25" i="2"/>
  <c r="O65" i="8" l="1"/>
  <c r="Q62"/>
  <c r="Q17"/>
  <c r="K14"/>
  <c r="M9"/>
  <c r="M8"/>
  <c r="P3"/>
  <c r="L3"/>
  <c r="E3"/>
  <c r="B1"/>
  <c r="E14" l="1"/>
  <c r="M14" s="1"/>
  <c r="Q15" s="1"/>
  <c r="A2" i="1" l="1"/>
  <c r="Q59" i="3"/>
  <c r="Q38"/>
  <c r="Q37"/>
  <c r="Q36"/>
  <c r="Q35"/>
  <c r="Q42"/>
  <c r="Q40"/>
  <c r="Q17"/>
  <c r="M9"/>
  <c r="D11" i="2"/>
  <c r="Y11"/>
  <c r="Y12" s="1"/>
  <c r="Y13" s="1"/>
  <c r="Y14" s="1"/>
  <c r="Y15" s="1"/>
  <c r="Y16" s="1"/>
  <c r="Y17" s="1"/>
  <c r="Y18" s="1"/>
  <c r="J12"/>
  <c r="S11" l="1"/>
  <c r="I11"/>
  <c r="H11"/>
  <c r="O11"/>
  <c r="O62" i="3"/>
  <c r="P3"/>
  <c r="N25" i="2"/>
  <c r="AB25" s="1"/>
  <c r="Y31"/>
  <c r="U31"/>
  <c r="K11"/>
  <c r="K12" s="1"/>
  <c r="K13" s="1"/>
  <c r="K14" s="1"/>
  <c r="K15" s="1"/>
  <c r="K16" s="1"/>
  <c r="K17" s="1"/>
  <c r="K18" s="1"/>
  <c r="K19" s="1"/>
  <c r="K20" s="1"/>
  <c r="K21" s="1"/>
  <c r="K31" l="1"/>
  <c r="I25" i="3"/>
  <c r="W11" i="2"/>
  <c r="V11"/>
  <c r="AA10" l="1"/>
  <c r="Q11" l="1"/>
  <c r="W12"/>
  <c r="V12"/>
  <c r="T11"/>
  <c r="R11"/>
  <c r="P11"/>
  <c r="M8" i="3"/>
  <c r="I28"/>
  <c r="I24"/>
  <c r="I23"/>
  <c r="K14"/>
  <c r="M12"/>
  <c r="E14" s="1"/>
  <c r="Q5"/>
  <c r="I93" i="9" s="1"/>
  <c r="L3" i="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P15" s="1"/>
  <c r="P16" s="1"/>
  <c r="P17" s="1"/>
  <c r="P18" s="1"/>
  <c r="P19" s="1"/>
  <c r="P20" s="1"/>
  <c r="P21" s="1"/>
  <c r="T12"/>
  <c r="D12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N10"/>
  <c r="M12"/>
  <c r="M13" s="1"/>
  <c r="M14" s="1"/>
  <c r="M15" s="1"/>
  <c r="M16" s="1"/>
  <c r="M17" s="1"/>
  <c r="M18" s="1"/>
  <c r="M19" s="1"/>
  <c r="M20" s="1"/>
  <c r="M21" s="1"/>
  <c r="S12" l="1"/>
  <c r="I12"/>
  <c r="X11"/>
  <c r="X12" s="1"/>
  <c r="T13"/>
  <c r="O12"/>
  <c r="H12"/>
  <c r="L31"/>
  <c r="F31"/>
  <c r="R31"/>
  <c r="D13"/>
  <c r="P31"/>
  <c r="V31"/>
  <c r="I29" i="8" s="1"/>
  <c r="N11" i="2"/>
  <c r="W31"/>
  <c r="H14" i="3" s="1"/>
  <c r="M31" i="2"/>
  <c r="Q31"/>
  <c r="I21" i="8" s="1"/>
  <c r="G31" i="2"/>
  <c r="AA12" l="1"/>
  <c r="S13"/>
  <c r="I13"/>
  <c r="B29" i="9"/>
  <c r="AA11" i="2"/>
  <c r="AB11" s="1"/>
  <c r="T14"/>
  <c r="X13"/>
  <c r="B30" i="9"/>
  <c r="H18"/>
  <c r="I21" i="3"/>
  <c r="G114" i="9" s="1"/>
  <c r="I114" s="1"/>
  <c r="K114" s="1"/>
  <c r="I29" i="3"/>
  <c r="G117" i="9" s="1"/>
  <c r="I117" s="1"/>
  <c r="K117" s="1"/>
  <c r="O13" i="2"/>
  <c r="H13"/>
  <c r="D14"/>
  <c r="N12"/>
  <c r="AB12" s="1"/>
  <c r="M14" i="3"/>
  <c r="Q15" s="1"/>
  <c r="AA13" i="2" l="1"/>
  <c r="I14"/>
  <c r="D24"/>
  <c r="H24" s="1"/>
  <c r="S14"/>
  <c r="H23"/>
  <c r="T15"/>
  <c r="X14"/>
  <c r="B31" i="9"/>
  <c r="K18"/>
  <c r="O14" i="2"/>
  <c r="AA14" s="1"/>
  <c r="H14"/>
  <c r="N22"/>
  <c r="AB22" s="1"/>
  <c r="N13"/>
  <c r="D15"/>
  <c r="S15" l="1"/>
  <c r="I15"/>
  <c r="AB13"/>
  <c r="N23"/>
  <c r="O23"/>
  <c r="AA23" s="1"/>
  <c r="T16"/>
  <c r="X15"/>
  <c r="B32" i="9"/>
  <c r="O15" i="2"/>
  <c r="AA15" s="1"/>
  <c r="H15"/>
  <c r="N14"/>
  <c r="AB14" s="1"/>
  <c r="D16"/>
  <c r="AB23" l="1"/>
  <c r="S16"/>
  <c r="I16"/>
  <c r="T17"/>
  <c r="X16"/>
  <c r="B33" i="9"/>
  <c r="H19"/>
  <c r="O16" i="2"/>
  <c r="AA16" s="1"/>
  <c r="H16"/>
  <c r="N15"/>
  <c r="D17"/>
  <c r="I17" s="1"/>
  <c r="AB15" l="1"/>
  <c r="F19" i="9"/>
  <c r="S17" i="2"/>
  <c r="H17"/>
  <c r="T18"/>
  <c r="K19" i="9"/>
  <c r="X17" i="2"/>
  <c r="B34" i="9"/>
  <c r="F62" i="3"/>
  <c r="F65" i="8"/>
  <c r="O17" i="2"/>
  <c r="AA17" s="1"/>
  <c r="N16"/>
  <c r="AB16" s="1"/>
  <c r="D18"/>
  <c r="I18" s="1"/>
  <c r="S18" l="1"/>
  <c r="H18"/>
  <c r="T19"/>
  <c r="B35" i="9"/>
  <c r="X18" i="2"/>
  <c r="O18"/>
  <c r="AA18" s="1"/>
  <c r="N17"/>
  <c r="AB17" s="1"/>
  <c r="AB10"/>
  <c r="D19"/>
  <c r="I19" s="1"/>
  <c r="S19" l="1"/>
  <c r="H19"/>
  <c r="T20"/>
  <c r="X19"/>
  <c r="B36" i="9"/>
  <c r="H20"/>
  <c r="O19" i="2"/>
  <c r="N18"/>
  <c r="N24"/>
  <c r="AB24" s="1"/>
  <c r="D20"/>
  <c r="I20" s="1"/>
  <c r="AA19" l="1"/>
  <c r="S20"/>
  <c r="H20"/>
  <c r="F20" i="9"/>
  <c r="AB18" i="2"/>
  <c r="T21"/>
  <c r="K20" i="9"/>
  <c r="X20" i="2"/>
  <c r="B37" i="9"/>
  <c r="J62" i="3"/>
  <c r="J65" i="8"/>
  <c r="O20" i="2"/>
  <c r="N19"/>
  <c r="AB19" s="1"/>
  <c r="D21"/>
  <c r="I21" s="1"/>
  <c r="AA20" l="1"/>
  <c r="S21"/>
  <c r="S31" s="1"/>
  <c r="H21"/>
  <c r="T31"/>
  <c r="B38" i="9"/>
  <c r="L65" i="8"/>
  <c r="X21" i="2"/>
  <c r="H21" i="9" s="1"/>
  <c r="L62" i="3"/>
  <c r="I31" i="2"/>
  <c r="O21"/>
  <c r="AA21" s="1"/>
  <c r="N20"/>
  <c r="AB20" s="1"/>
  <c r="D31"/>
  <c r="I22" i="8" l="1"/>
  <c r="I22" i="3"/>
  <c r="I115" i="9" s="1"/>
  <c r="K115" s="1"/>
  <c r="X31" i="2"/>
  <c r="F8" i="1" s="1"/>
  <c r="B39" i="9"/>
  <c r="B41" s="1"/>
  <c r="M65" i="8"/>
  <c r="P65" s="1"/>
  <c r="M62" i="3"/>
  <c r="P62" s="1"/>
  <c r="K21" i="9"/>
  <c r="K22" s="1"/>
  <c r="H22"/>
  <c r="H31" i="2"/>
  <c r="AA31"/>
  <c r="F20" i="1"/>
  <c r="I64" i="9" l="1"/>
  <c r="K143"/>
  <c r="N21" i="2"/>
  <c r="F21" i="9" l="1"/>
  <c r="F22" s="1"/>
  <c r="AB21" i="2"/>
  <c r="N31"/>
  <c r="Q4" i="3" l="1"/>
  <c r="Q4" i="8"/>
  <c r="F4" i="1"/>
  <c r="F17" s="1"/>
  <c r="Q10" i="8"/>
  <c r="O31" i="2"/>
  <c r="G113" i="9" s="1"/>
  <c r="I85" l="1"/>
  <c r="J90" s="1"/>
  <c r="J95" s="1"/>
  <c r="L103" s="1"/>
  <c r="L108" s="1"/>
  <c r="Q7" i="3"/>
  <c r="M10" s="1"/>
  <c r="Q10" s="1"/>
  <c r="Q11" s="1"/>
  <c r="Q16" s="1"/>
  <c r="Q18" s="1"/>
  <c r="I113" i="9"/>
  <c r="I26" i="3"/>
  <c r="O30" s="1"/>
  <c r="G118" i="9" s="1"/>
  <c r="I26" i="8"/>
  <c r="AB31" i="2"/>
  <c r="Q11" i="8"/>
  <c r="Q16" s="1"/>
  <c r="Q18" s="1"/>
  <c r="Q33"/>
  <c r="Q45" s="1"/>
  <c r="I118" i="9" l="1"/>
  <c r="K118" s="1"/>
  <c r="G121"/>
  <c r="K113"/>
  <c r="O30" i="8"/>
  <c r="Q31" i="3"/>
  <c r="Q46" i="8"/>
  <c r="Q47" s="1"/>
  <c r="Q51" s="1"/>
  <c r="F12" i="1" l="1"/>
  <c r="Q33" i="3"/>
  <c r="Q45" s="1"/>
  <c r="Q46" s="1"/>
  <c r="Q47" s="1"/>
  <c r="Q51" s="1"/>
  <c r="K121" i="9"/>
  <c r="K132" s="1"/>
  <c r="I121"/>
  <c r="A21" i="1"/>
  <c r="D21"/>
  <c r="Q52" i="8"/>
  <c r="Q56"/>
  <c r="Q54"/>
  <c r="Q55"/>
  <c r="Q53"/>
  <c r="Q52" i="3" l="1"/>
  <c r="K134" i="9"/>
  <c r="Q53" i="3"/>
  <c r="F6" i="1"/>
  <c r="Q57" i="8"/>
  <c r="Q58" l="1"/>
  <c r="Q59" s="1"/>
  <c r="Q60" s="1"/>
  <c r="Q61" s="1"/>
  <c r="Q63" s="1"/>
  <c r="Q54" i="3"/>
  <c r="K136" i="9" s="1"/>
  <c r="K138" s="1"/>
  <c r="Q66" i="8" l="1"/>
  <c r="B66"/>
  <c r="Q55" i="3"/>
  <c r="Q56" s="1"/>
  <c r="Q57" s="1"/>
  <c r="Q58" l="1"/>
  <c r="K139" i="9"/>
  <c r="Q60" i="3" l="1"/>
  <c r="K140" i="9"/>
  <c r="K142" l="1"/>
  <c r="K144" s="1"/>
  <c r="Q63" i="3"/>
  <c r="D20" i="1" s="1"/>
  <c r="B63" i="3"/>
  <c r="A20" i="1" s="1"/>
</calcChain>
</file>

<file path=xl/sharedStrings.xml><?xml version="1.0" encoding="utf-8"?>
<sst xmlns="http://schemas.openxmlformats.org/spreadsheetml/2006/main" count="653" uniqueCount="372">
  <si>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</si>
  <si>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</si>
  <si>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</si>
  <si>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</si>
  <si>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</si>
  <si>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</si>
  <si>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</si>
  <si>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</si>
  <si>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</si>
  <si>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</si>
  <si>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</si>
  <si>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</si>
  <si>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</si>
  <si>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</si>
  <si>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</si>
  <si>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</si>
  <si>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</si>
  <si>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</si>
  <si>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</si>
  <si>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</si>
  <si>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</si>
  <si>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</si>
  <si>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</si>
  <si>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</si>
  <si>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</si>
  <si>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</si>
  <si>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</si>
  <si>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</si>
  <si>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</si>
  <si>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</si>
  <si>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</si>
  <si>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</si>
  <si>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</si>
  <si>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</si>
  <si>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</si>
  <si>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</si>
  <si>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</si>
  <si>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</si>
  <si>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</si>
  <si>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</si>
  <si>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</si>
  <si>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</si>
  <si>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</si>
  <si>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</si>
  <si>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</si>
  <si>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</si>
  <si>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</si>
  <si>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</si>
  <si>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</si>
  <si>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</si>
  <si>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</si>
  <si>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</si>
  <si>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</si>
  <si>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</si>
  <si>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</si>
  <si>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</si>
  <si>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</si>
  <si>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</si>
  <si>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</si>
  <si>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</si>
  <si>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</si>
  <si>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</si>
  <si>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</si>
  <si>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</si>
  <si>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</si>
  <si>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</si>
  <si>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</si>
  <si>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</si>
  <si>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</si>
  <si>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</si>
  <si>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</si>
  <si>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</si>
  <si>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</si>
  <si>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</si>
  <si>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</si>
  <si>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</si>
  <si>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</si>
  <si>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</si>
  <si>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</si>
  <si>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</si>
  <si>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</si>
  <si>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</si>
  <si>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</si>
  <si>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</si>
  <si>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</si>
  <si>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</si>
  <si>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</si>
  <si>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</si>
  <si>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</si>
  <si>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</si>
  <si>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</si>
  <si>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</si>
  <si>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</si>
  <si>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</si>
  <si>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</si>
  <si>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</si>
  <si>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</si>
  <si>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</si>
  <si>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</si>
  <si>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</si>
  <si>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</si>
  <si>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</si>
  <si>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</si>
  <si>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</si>
  <si>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</si>
  <si>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</si>
  <si>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</si>
  <si>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</si>
  <si>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</si>
  <si>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</si>
  <si>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</si>
  <si>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</si>
  <si>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</si>
  <si>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</si>
  <si>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</si>
  <si>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</si>
  <si>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</si>
  <si>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</si>
  <si>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</si>
  <si>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</si>
  <si>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</si>
  <si>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</si>
  <si>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</si>
  <si>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</si>
  <si>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</si>
  <si>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</si>
  <si>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</si>
  <si>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</si>
  <si>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</si>
  <si>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</si>
  <si>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</si>
  <si>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</si>
  <si>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</si>
  <si>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</si>
  <si>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</si>
  <si>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</si>
  <si>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</si>
  <si>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</si>
  <si>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</si>
  <si>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</si>
  <si>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</si>
  <si>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</si>
  <si>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</si>
  <si>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</si>
  <si>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</si>
  <si>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</si>
  <si>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</si>
  <si>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</si>
  <si>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</si>
  <si>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</si>
  <si>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</si>
  <si>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</si>
  <si>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</si>
  <si>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</si>
  <si>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NAME :</t>
  </si>
  <si>
    <t>SR TEACHER</t>
  </si>
  <si>
    <t>ASQPM6311G</t>
  </si>
  <si>
    <t>AAAAAAAA</t>
  </si>
  <si>
    <t>2225617763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</si>
  <si>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</si>
  <si>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</si>
  <si>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</si>
  <si>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</si>
  <si>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</si>
  <si>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</si>
  <si>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</si>
  <si>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</si>
  <si>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</si>
  <si>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</si>
  <si>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</si>
  <si>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</si>
  <si>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</si>
  <si>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</si>
  <si>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</si>
  <si>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</si>
  <si>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</si>
  <si>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</si>
  <si>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</si>
  <si>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RAJTEACHERS.NET</t>
  </si>
  <si>
    <t>Yes</t>
  </si>
  <si>
    <t>HITKARI NIDHI</t>
  </si>
  <si>
    <t>RPMF/RGHS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</si>
  <si>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</si>
  <si>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INCOME TAX CALCULATION (GA-55) 2022-23</t>
  </si>
  <si>
    <t>vk;dj x.kuk izi= o"kZ 2022&amp;2023 ¼dj fu/kkZj.k o"kZ 2023&amp;2024½</t>
  </si>
  <si>
    <t>flrEcj 2022
rd  :i;s</t>
  </si>
  <si>
    <t>fnlEcj 20212rd  :i;s</t>
  </si>
  <si>
    <t>tuojh 2023
rd :i;s</t>
  </si>
  <si>
    <t>Qjojh 2023
rd  :i;s</t>
  </si>
  <si>
    <t>vk; %  o"kZ&amp;2022&amp;23 esa izkIr dqy osru ¼ dj ;ksX; lqfo/kkvksa ds eqY; lfgr ½</t>
  </si>
  <si>
    <t>fnlEcj 2022
rd  :i;s</t>
  </si>
  <si>
    <t>DA Arrear 34%</t>
  </si>
  <si>
    <r>
      <t>lkekU; izko/kk;h fuf/k ¼</t>
    </r>
    <r>
      <rPr>
        <sz val="12"/>
        <rFont val="Calibri"/>
        <family val="2"/>
        <scheme val="minor"/>
      </rPr>
      <t>GPF/GPF 2004)</t>
    </r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</si>
  <si>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</si>
  <si>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</si>
  <si>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</si>
  <si>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</si>
  <si>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</si>
  <si>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</si>
  <si>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</si>
  <si>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</si>
  <si>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</si>
  <si>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</si>
  <si>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</si>
  <si>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</si>
  <si>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</si>
  <si>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</si>
  <si>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</si>
  <si>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</si>
  <si>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</si>
  <si>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</si>
  <si>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</si>
  <si>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</si>
  <si>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</si>
  <si>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</si>
  <si>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</si>
  <si>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</si>
  <si>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</si>
  <si>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</si>
  <si>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</si>
  <si>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</si>
  <si>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</si>
  <si>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</si>
  <si>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</si>
  <si>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</si>
  <si>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</si>
  <si>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</si>
  <si>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</si>
  <si>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</si>
  <si>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</si>
  <si>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</si>
  <si>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</si>
  <si>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</si>
  <si>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</si>
  <si>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</si>
  <si>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</si>
  <si>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</si>
  <si>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</si>
  <si>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</si>
  <si>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</si>
  <si>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</si>
  <si>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</si>
  <si>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</si>
  <si>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</si>
  <si>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</si>
  <si>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</si>
  <si>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</si>
  <si>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</si>
  <si>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</si>
  <si>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</si>
  <si>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</si>
  <si>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</si>
  <si>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</si>
  <si>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</si>
  <si>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</si>
  <si>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</si>
  <si>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</si>
  <si>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</si>
  <si>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</si>
  <si>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</si>
  <si>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</si>
  <si>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</si>
  <si>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</si>
  <si>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</si>
  <si>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</si>
  <si>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</si>
  <si>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</si>
  <si>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</si>
  <si>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</si>
  <si>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</si>
  <si>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</si>
  <si>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</si>
  <si>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</si>
  <si>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</si>
  <si>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</si>
  <si>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</si>
  <si>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</si>
  <si>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</si>
  <si>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</si>
  <si>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</si>
  <si>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</si>
  <si>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</si>
  <si>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</si>
  <si>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</si>
  <si>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</si>
  <si>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</si>
  <si>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</si>
  <si>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</si>
  <si>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</si>
  <si>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</si>
  <si>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</si>
  <si>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</si>
  <si>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</si>
  <si>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</si>
  <si>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</si>
  <si>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</si>
  <si>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</si>
  <si>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</si>
  <si>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</si>
  <si>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</si>
  <si>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</si>
  <si>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</si>
  <si>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</si>
  <si>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</si>
  <si>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</si>
  <si>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</si>
  <si>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</si>
  <si>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</si>
  <si>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</si>
  <si>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</si>
  <si>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</si>
  <si>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vU; dVkSfr;ka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</si>
  <si>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</si>
  <si>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</si>
  <si>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</si>
  <si>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</si>
  <si>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</si>
  <si>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</si>
  <si>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</si>
  <si>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</si>
  <si>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</si>
  <si>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</si>
  <si>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</si>
  <si>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</si>
  <si>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</si>
  <si>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</si>
  <si>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</si>
  <si>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</si>
  <si>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</si>
  <si>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</si>
  <si>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01.04.2022</t>
  </si>
  <si>
    <t>31.03.2023</t>
  </si>
  <si>
    <t>2023-24</t>
  </si>
  <si>
    <t>DA Arrear 38%</t>
  </si>
  <si>
    <r>
      <rPr>
        <sz val="12"/>
        <rFont val="Calibri"/>
        <family val="2"/>
        <scheme val="minor"/>
      </rPr>
      <t>(B)</t>
    </r>
    <r>
      <rPr>
        <sz val="12"/>
        <rFont val="DevLys 010"/>
      </rPr>
      <t xml:space="preserve"> ?kVkb;s &amp; /kkjk</t>
    </r>
    <r>
      <rPr>
        <sz val="12"/>
        <rFont val="Calibri"/>
        <family val="2"/>
        <scheme val="minor"/>
      </rPr>
      <t xml:space="preserve"> 80CCD (1B) </t>
    </r>
    <r>
      <rPr>
        <sz val="12"/>
        <rFont val="DevLys 010"/>
      </rPr>
      <t>uohu isa'ku ;kstuk esa vfrfjDr va'knku ¼vf/kdre :- 50]000</t>
    </r>
    <r>
      <rPr>
        <sz val="12"/>
        <rFont val="Calibri"/>
        <family val="2"/>
        <scheme val="minor"/>
      </rPr>
      <t>)</t>
    </r>
  </si>
  <si>
    <r>
      <rPr>
        <sz val="12"/>
        <rFont val="Calibri"/>
        <family val="2"/>
        <scheme val="minor"/>
      </rPr>
      <t>(B)</t>
    </r>
    <r>
      <rPr>
        <sz val="12"/>
        <rFont val="DevLys 010"/>
      </rPr>
      <t xml:space="preserve"> ?kVkb;s &amp; /kkjk </t>
    </r>
    <r>
      <rPr>
        <sz val="12"/>
        <rFont val="Calibri"/>
        <family val="2"/>
        <scheme val="minor"/>
      </rPr>
      <t xml:space="preserve">80CCD (1B) </t>
    </r>
    <r>
      <rPr>
        <sz val="12"/>
        <rFont val="DevLys 010"/>
      </rPr>
      <t>uohu isa'ku ;kstuk esa vfrfjDr va'knku ¼vf/kdre :- 50]000</t>
    </r>
    <r>
      <rPr>
        <sz val="12"/>
        <rFont val="Calibri"/>
        <family val="2"/>
        <scheme val="minor"/>
      </rPr>
      <t>)</t>
    </r>
  </si>
  <si>
    <t>CM Corona Fund</t>
  </si>
  <si>
    <t>Gulla Ram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</si>
  <si>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</si>
  <si>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</si>
  <si>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</si>
  <si>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</si>
  <si>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</si>
  <si>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</si>
  <si>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</si>
  <si>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</si>
  <si>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 xml:space="preserve">½ /kkjk 10¼14½ds vUrxrZ vU; Hkrs </t>
    </r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</si>
  <si>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tks dj eqDÙk gSA</t>
    </r>
  </si>
  <si>
    <r>
      <t xml:space="preserve">9- /kkjk 80 </t>
    </r>
    <r>
      <rPr>
        <sz val="10"/>
        <rFont val="Calibri"/>
        <family val="2"/>
        <scheme val="minor"/>
      </rPr>
      <t>GGC</t>
    </r>
    <r>
      <rPr>
        <sz val="12"/>
        <rFont val="DevLys 010"/>
      </rPr>
      <t xml:space="preserve"> jktfufrd ikfVZ;ksa dks fn;k x;k nku</t>
    </r>
  </si>
  <si>
    <r>
      <t xml:space="preserve">1- 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</si>
  <si>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t>dqy ;ksx 12 ¼ 1 ls 9 rd ½</t>
  </si>
  <si>
    <t xml:space="preserve">17- /kkjk 10¼14½ds vUrxrZ vU; Hkrs </t>
  </si>
  <si>
    <r>
      <t xml:space="preserve">18-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</si>
  <si>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t>19- vU; vk; ¼,Q Mh ij C;kt] vU; C;kt ;k vU; L=ks+= ls vk; vkfn dk ;ksx½</t>
  </si>
  <si>
    <t>20- vU; tek jkf'k ¼/kkjk 80 lh ds vUrxZr½</t>
  </si>
  <si>
    <r>
      <t xml:space="preserve">21-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</si>
  <si>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22-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</si>
  <si>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23-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</si>
  <si>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24-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</si>
  <si>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25-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</si>
  <si>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26-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</si>
  <si>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27-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</si>
  <si>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28-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</si>
  <si>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29-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</si>
  <si>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t>30- bfDoVh fyad lsfoax Ldhe</t>
  </si>
  <si>
    <t>31- LFkfxr okf"kZdh</t>
  </si>
  <si>
    <t xml:space="preserve">32- jkgr /kkjk 89 ds rgr </t>
  </si>
  <si>
    <r>
      <t xml:space="preserve">33- osru fcy ds vykok tek djk;k x;k aavk;dj </t>
    </r>
    <r>
      <rPr>
        <sz val="13"/>
        <rFont val="Calibri"/>
        <family val="2"/>
        <scheme val="minor"/>
      </rPr>
      <t>(TDS)</t>
    </r>
  </si>
  <si>
    <r>
      <t xml:space="preserve">34- /kkjk 80 </t>
    </r>
    <r>
      <rPr>
        <sz val="11"/>
        <rFont val="Calibri"/>
        <family val="2"/>
        <scheme val="minor"/>
      </rPr>
      <t>GGC</t>
    </r>
    <r>
      <rPr>
        <sz val="13"/>
        <rFont val="Kruti Dev 010"/>
      </rPr>
      <t xml:space="preserve"> jktfufrd ikfVZ;ksa dks fn;k x;k nku</t>
    </r>
  </si>
  <si>
    <r>
      <t xml:space="preserve">9- /kkjk 80 </t>
    </r>
    <r>
      <rPr>
        <sz val="9"/>
        <rFont val="DevLys 010cali"/>
      </rPr>
      <t xml:space="preserve">GGC </t>
    </r>
    <r>
      <rPr>
        <sz val="12"/>
        <rFont val="DevLys 010"/>
      </rPr>
      <t>jktfufrd ikfVZ;ksa dks fn;k x;k nku</t>
    </r>
  </si>
  <si>
    <r>
      <t>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 xml:space="preserve">½ /kkjk 10¼14½ds vUrxrZ vU; Hkrs </t>
    </r>
  </si>
  <si>
    <r>
      <t>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x`g fdjk;k] /kkjk 10¼13&amp;A½ ds vUrxrZ tks dj eqDÙk gSA</t>
    </r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</si>
</sst>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6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b/>
      <sz val="12"/>
      <name val="Kruti Dev 010"/>
    </font>
    <font>
      <sz val="10"/>
      <name val="Tahoma"/>
      <family val="2"/>
    </font>
    <font>
      <sz val="10"/>
      <name val="Arial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9"/>
      <name val="DevLys 010cali"/>
    </font>
    <font>
      <b/>
      <sz val="20"/>
      <color theme="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43" fontId="70" fillId="0" borderId="0" applyFont="0" applyFill="0" applyBorder="0" applyAlignment="0" applyProtection="0"/>
    <xf numFmtId="0" fontId="5" fillId="0" borderId="0"/>
    <xf numFmtId="9" fontId="78" fillId="0" borderId="0" applyFont="0" applyFill="0" applyBorder="0" applyAlignment="0" applyProtection="0"/>
  </cellStyleXfs>
  <cellXfs count="673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3" fillId="0" borderId="0" xfId="0" applyFont="1"/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4" fillId="0" borderId="0" xfId="37" applyFont="1" applyBorder="1" applyAlignment="1">
      <alignment horizontal="center" vertical="center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58" fillId="31" borderId="17" xfId="0" applyNumberFormat="1" applyFont="1" applyFill="1" applyBorder="1" applyAlignment="1">
      <alignment horizontal="center" vertical="center"/>
    </xf>
    <xf numFmtId="1" fontId="59" fillId="30" borderId="0" xfId="0" applyNumberFormat="1" applyFont="1" applyFill="1" applyBorder="1" applyAlignment="1">
      <alignment horizontal="center" vertical="center"/>
    </xf>
    <xf numFmtId="1" fontId="59" fillId="31" borderId="0" xfId="0" applyNumberFormat="1" applyFont="1" applyFill="1" applyBorder="1" applyAlignment="1">
      <alignment horizontal="center" vertical="center"/>
    </xf>
    <xf numFmtId="1" fontId="59" fillId="29" borderId="0" xfId="0" applyNumberFormat="1" applyFont="1" applyFill="1" applyBorder="1" applyAlignment="1">
      <alignment horizontal="center" vertical="center"/>
    </xf>
    <xf numFmtId="2" fontId="59" fillId="29" borderId="0" xfId="0" applyNumberFormat="1" applyFont="1" applyFill="1" applyBorder="1" applyAlignment="1">
      <alignment horizontal="center" vertical="center"/>
    </xf>
    <xf numFmtId="2" fontId="32" fillId="29" borderId="0" xfId="0" applyNumberFormat="1" applyFont="1" applyFill="1" applyBorder="1" applyAlignment="1" applyProtection="1">
      <alignment horizontal="center"/>
      <protection locked="0"/>
    </xf>
    <xf numFmtId="2" fontId="32" fillId="29" borderId="0" xfId="0" applyNumberFormat="1" applyFont="1" applyFill="1" applyBorder="1" applyAlignment="1" applyProtection="1">
      <alignment horizontal="left"/>
    </xf>
    <xf numFmtId="2" fontId="32" fillId="33" borderId="0" xfId="0" applyNumberFormat="1" applyFont="1" applyFill="1" applyBorder="1" applyAlignment="1" applyProtection="1">
      <alignment horizontal="center" vertical="center"/>
      <protection locked="0"/>
    </xf>
    <xf numFmtId="2" fontId="32" fillId="33" borderId="0" xfId="0" applyNumberFormat="1" applyFont="1" applyFill="1" applyBorder="1" applyAlignment="1" applyProtection="1">
      <alignment horizontal="left"/>
    </xf>
    <xf numFmtId="2" fontId="32" fillId="33" borderId="0" xfId="0" applyNumberFormat="1" applyFont="1" applyFill="1" applyBorder="1" applyAlignment="1" applyProtection="1">
      <alignment horizontal="center"/>
      <protection locked="0"/>
    </xf>
    <xf numFmtId="2" fontId="61" fillId="34" borderId="17" xfId="0" applyNumberFormat="1" applyFont="1" applyFill="1" applyBorder="1" applyAlignment="1">
      <alignment horizontal="center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2" fontId="66" fillId="29" borderId="0" xfId="0" applyNumberFormat="1" applyFont="1" applyFill="1" applyBorder="1" applyAlignment="1">
      <alignment horizontal="left" indent="1"/>
    </xf>
    <xf numFmtId="2" fontId="66" fillId="33" borderId="0" xfId="0" applyNumberFormat="1" applyFont="1" applyFill="1" applyBorder="1" applyAlignment="1">
      <alignment horizontal="left" vertical="center" wrapText="1" indent="1"/>
    </xf>
    <xf numFmtId="2" fontId="66" fillId="33" borderId="0" xfId="0" applyNumberFormat="1" applyFont="1" applyFill="1" applyBorder="1" applyAlignment="1">
      <alignment horizontal="left" vertical="center" indent="1"/>
    </xf>
    <xf numFmtId="2" fontId="66" fillId="33" borderId="0" xfId="0" applyNumberFormat="1" applyFont="1" applyFill="1" applyBorder="1" applyAlignment="1">
      <alignment horizontal="left" indent="1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Fill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vertical="center"/>
    </xf>
    <xf numFmtId="0" fontId="1" fillId="0" borderId="10" xfId="37" applyFont="1" applyBorder="1" applyAlignment="1">
      <alignment horizontal="right" vertical="center"/>
    </xf>
    <xf numFmtId="2" fontId="66" fillId="29" borderId="0" xfId="0" applyNumberFormat="1" applyFont="1" applyFill="1" applyBorder="1" applyAlignment="1" applyProtection="1">
      <alignment horizontal="left" vertical="center" wrapText="1" indent="1"/>
    </xf>
    <xf numFmtId="0" fontId="9" fillId="36" borderId="0" xfId="0" applyNumberFormat="1" applyFont="1" applyFill="1" applyBorder="1" applyAlignment="1" applyProtection="1">
      <alignment vertical="top"/>
    </xf>
    <xf numFmtId="0" fontId="29" fillId="36" borderId="0" xfId="0" applyNumberFormat="1" applyFont="1" applyFill="1" applyBorder="1" applyAlignment="1">
      <alignment vertical="top"/>
    </xf>
    <xf numFmtId="0" fontId="9" fillId="36" borderId="0" xfId="0" applyNumberFormat="1" applyFont="1" applyFill="1" applyBorder="1" applyAlignment="1" applyProtection="1">
      <alignment vertical="top"/>
      <protection locked="0"/>
    </xf>
    <xf numFmtId="0" fontId="9" fillId="36" borderId="10" xfId="0" applyNumberFormat="1" applyFont="1" applyFill="1" applyBorder="1" applyAlignment="1" applyProtection="1">
      <alignment horizontal="left"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NumberFormat="1" applyFont="1" applyFill="1" applyBorder="1" applyAlignment="1">
      <alignment vertical="top"/>
    </xf>
    <xf numFmtId="0" fontId="5" fillId="35" borderId="40" xfId="0" applyNumberFormat="1" applyFont="1" applyFill="1" applyBorder="1" applyAlignment="1">
      <alignment vertical="top"/>
    </xf>
    <xf numFmtId="0" fontId="5" fillId="35" borderId="41" xfId="0" applyNumberFormat="1" applyFont="1" applyFill="1" applyBorder="1" applyAlignment="1">
      <alignment vertical="top"/>
    </xf>
    <xf numFmtId="0" fontId="29" fillId="35" borderId="0" xfId="0" applyNumberFormat="1" applyFont="1" applyFill="1" applyBorder="1" applyAlignment="1">
      <alignment vertical="top"/>
    </xf>
    <xf numFmtId="0" fontId="29" fillId="35" borderId="41" xfId="0" applyNumberFormat="1" applyFont="1" applyFill="1" applyBorder="1" applyAlignment="1">
      <alignment vertical="top"/>
    </xf>
    <xf numFmtId="0" fontId="39" fillId="35" borderId="0" xfId="0" applyNumberFormat="1" applyFont="1" applyFill="1" applyBorder="1" applyAlignment="1">
      <alignment horizontal="center" textRotation="90" wrapText="1"/>
    </xf>
    <xf numFmtId="0" fontId="39" fillId="35" borderId="41" xfId="0" applyNumberFormat="1" applyFont="1" applyFill="1" applyBorder="1" applyAlignment="1">
      <alignment horizontal="center" textRotation="90" wrapText="1"/>
    </xf>
    <xf numFmtId="0" fontId="34" fillId="35" borderId="0" xfId="0" applyNumberFormat="1" applyFont="1" applyFill="1" applyBorder="1" applyAlignment="1">
      <alignment vertical="center"/>
    </xf>
    <xf numFmtId="0" fontId="34" fillId="35" borderId="41" xfId="0" applyNumberFormat="1" applyFont="1" applyFill="1" applyBorder="1" applyAlignment="1">
      <alignment vertical="center"/>
    </xf>
    <xf numFmtId="0" fontId="39" fillId="35" borderId="0" xfId="0" applyNumberFormat="1" applyFont="1" applyFill="1" applyBorder="1" applyAlignment="1">
      <alignment horizontal="center" vertical="center" textRotation="90"/>
    </xf>
    <xf numFmtId="0" fontId="39" fillId="35" borderId="53" xfId="0" applyNumberFormat="1" applyFont="1" applyFill="1" applyBorder="1" applyAlignment="1">
      <alignment horizontal="center" vertical="center" textRotation="90"/>
    </xf>
    <xf numFmtId="0" fontId="4" fillId="35" borderId="0" xfId="0" applyNumberFormat="1" applyFont="1" applyFill="1" applyBorder="1" applyAlignment="1">
      <alignment vertical="top" textRotation="90"/>
    </xf>
    <xf numFmtId="0" fontId="43" fillId="36" borderId="10" xfId="0" applyNumberFormat="1" applyFont="1" applyFill="1" applyBorder="1" applyAlignment="1">
      <alignment horizontal="center" textRotation="90" wrapText="1"/>
    </xf>
    <xf numFmtId="0" fontId="43" fillId="36" borderId="10" xfId="0" applyNumberFormat="1" applyFont="1" applyFill="1" applyBorder="1" applyAlignment="1" applyProtection="1">
      <alignment horizontal="center" textRotation="90" wrapText="1"/>
      <protection locked="0"/>
    </xf>
    <xf numFmtId="0" fontId="46" fillId="36" borderId="10" xfId="0" applyNumberFormat="1" applyFont="1" applyFill="1" applyBorder="1" applyAlignment="1">
      <alignment horizontal="center" textRotation="90" wrapText="1"/>
    </xf>
    <xf numFmtId="0" fontId="43" fillId="36" borderId="10" xfId="0" applyNumberFormat="1" applyFont="1" applyFill="1" applyBorder="1" applyAlignment="1" applyProtection="1">
      <alignment horizontal="center" textRotation="90" wrapText="1"/>
    </xf>
    <xf numFmtId="17" fontId="41" fillId="36" borderId="22" xfId="0" applyNumberFormat="1" applyFont="1" applyFill="1" applyBorder="1" applyAlignment="1">
      <alignment horizontal="center" vertical="center"/>
    </xf>
    <xf numFmtId="0" fontId="34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39" fillId="36" borderId="10" xfId="0" applyNumberFormat="1" applyFont="1" applyFill="1" applyBorder="1" applyAlignment="1" applyProtection="1">
      <alignment horizontal="center" vertical="center"/>
      <protection hidden="1"/>
    </xf>
    <xf numFmtId="0" fontId="34" fillId="36" borderId="10" xfId="0" applyNumberFormat="1" applyFont="1" applyFill="1" applyBorder="1" applyAlignment="1" applyProtection="1">
      <alignment vertical="center"/>
      <protection locked="0"/>
    </xf>
    <xf numFmtId="0" fontId="34" fillId="36" borderId="10" xfId="0" applyNumberFormat="1" applyFont="1" applyFill="1" applyBorder="1" applyAlignment="1" applyProtection="1">
      <alignment horizontal="center" vertical="center"/>
      <protection locked="0"/>
    </xf>
    <xf numFmtId="1" fontId="34" fillId="36" borderId="10" xfId="0" applyNumberFormat="1" applyFont="1" applyFill="1" applyBorder="1" applyAlignment="1" applyProtection="1">
      <alignment horizontal="center" vertical="center"/>
      <protection hidden="1"/>
    </xf>
    <xf numFmtId="1" fontId="39" fillId="36" borderId="10" xfId="0" applyNumberFormat="1" applyFont="1" applyFill="1" applyBorder="1" applyAlignment="1" applyProtection="1">
      <alignment horizontal="center" vertical="center"/>
      <protection hidden="1"/>
    </xf>
    <xf numFmtId="0" fontId="34" fillId="36" borderId="21" xfId="0" applyNumberFormat="1" applyFont="1" applyFill="1" applyBorder="1" applyAlignment="1" applyProtection="1">
      <alignment horizontal="center" vertical="center"/>
      <protection locked="0" hidden="1"/>
    </xf>
    <xf numFmtId="2" fontId="34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4" fillId="36" borderId="22" xfId="0" applyNumberFormat="1" applyFont="1" applyFill="1" applyBorder="1" applyAlignment="1" applyProtection="1">
      <alignment horizontal="center" vertical="center"/>
      <protection locked="0"/>
    </xf>
    <xf numFmtId="17" fontId="34" fillId="36" borderId="22" xfId="0" applyNumberFormat="1" applyFont="1" applyFill="1" applyBorder="1" applyAlignment="1" applyProtection="1">
      <alignment horizontal="center" vertical="center"/>
    </xf>
    <xf numFmtId="0" fontId="39" fillId="36" borderId="27" xfId="0" applyNumberFormat="1" applyFont="1" applyFill="1" applyBorder="1" applyAlignment="1">
      <alignment horizontal="center" vertical="center" textRotation="90"/>
    </xf>
    <xf numFmtId="0" fontId="50" fillId="36" borderId="28" xfId="0" applyNumberFormat="1" applyFont="1" applyFill="1" applyBorder="1" applyAlignment="1" applyProtection="1">
      <alignment horizontal="center" vertical="center" textRotation="90"/>
      <protection hidden="1"/>
    </xf>
    <xf numFmtId="2" fontId="50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50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9" fillId="36" borderId="29" xfId="0" applyNumberFormat="1" applyFont="1" applyFill="1" applyBorder="1" applyAlignment="1" applyProtection="1">
      <alignment horizontal="center" vertical="center" textRotation="90"/>
      <protection hidden="1"/>
    </xf>
    <xf numFmtId="0" fontId="4" fillId="36" borderId="0" xfId="0" applyNumberFormat="1" applyFont="1" applyFill="1" applyBorder="1" applyAlignment="1">
      <alignment vertical="top" textRotation="90"/>
    </xf>
    <xf numFmtId="0" fontId="5" fillId="36" borderId="0" xfId="0" applyNumberFormat="1" applyFont="1" applyFill="1" applyBorder="1" applyAlignment="1">
      <alignment vertical="top"/>
    </xf>
    <xf numFmtId="0" fontId="4" fillId="36" borderId="0" xfId="0" applyNumberFormat="1" applyFont="1" applyFill="1" applyBorder="1" applyAlignment="1">
      <alignment horizontal="center" vertical="top"/>
    </xf>
    <xf numFmtId="0" fontId="0" fillId="35" borderId="0" xfId="0" applyFill="1"/>
    <xf numFmtId="1" fontId="77" fillId="35" borderId="0" xfId="0" applyNumberFormat="1" applyFont="1" applyFill="1" applyProtection="1">
      <protection locked="0"/>
    </xf>
    <xf numFmtId="1" fontId="77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Border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73" fillId="36" borderId="16" xfId="45" applyNumberFormat="1" applyFont="1" applyFill="1" applyBorder="1" applyAlignment="1" applyProtection="1">
      <protection hidden="1"/>
    </xf>
    <xf numFmtId="1" fontId="73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5" fillId="36" borderId="17" xfId="0" applyNumberFormat="1" applyFont="1" applyFill="1" applyBorder="1" applyAlignment="1" applyProtection="1">
      <protection hidden="1"/>
    </xf>
    <xf numFmtId="1" fontId="0" fillId="36" borderId="17" xfId="0" applyNumberFormat="1" applyFill="1" applyBorder="1" applyAlignment="1" applyProtection="1">
      <protection hidden="1"/>
    </xf>
    <xf numFmtId="1" fontId="0" fillId="36" borderId="35" xfId="0" applyNumberFormat="1" applyFill="1" applyBorder="1" applyAlignment="1" applyProtection="1">
      <protection hidden="1"/>
    </xf>
    <xf numFmtId="1" fontId="5" fillId="36" borderId="0" xfId="0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8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75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8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0" xfId="45" quotePrefix="1" applyNumberFormat="1" applyFont="1" applyFill="1" applyBorder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30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72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79" fillId="37" borderId="10" xfId="0" applyNumberFormat="1" applyFont="1" applyFill="1" applyBorder="1" applyAlignment="1" applyProtection="1">
      <alignment horizontal="center" vertical="center" wrapText="1"/>
      <protection hidden="1"/>
    </xf>
    <xf numFmtId="0" fontId="80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9" fontId="80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NumberFormat="1" applyFont="1" applyFill="1" applyBorder="1" applyAlignment="1" applyProtection="1">
      <alignment horizontal="center" vertical="center"/>
      <protection locked="0"/>
    </xf>
    <xf numFmtId="9" fontId="81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NumberFormat="1" applyFont="1" applyFill="1" applyBorder="1" applyAlignment="1" applyProtection="1">
      <alignment vertical="top"/>
      <protection locked="0"/>
    </xf>
    <xf numFmtId="0" fontId="29" fillId="35" borderId="0" xfId="0" applyNumberFormat="1" applyFont="1" applyFill="1" applyBorder="1" applyAlignment="1" applyProtection="1">
      <alignment vertical="top"/>
      <protection locked="0"/>
    </xf>
    <xf numFmtId="0" fontId="39" fillId="35" borderId="0" xfId="0" applyNumberFormat="1" applyFont="1" applyFill="1" applyBorder="1" applyAlignment="1" applyProtection="1">
      <alignment horizontal="center" textRotation="90" wrapText="1"/>
      <protection locked="0"/>
    </xf>
    <xf numFmtId="0" fontId="34" fillId="35" borderId="0" xfId="0" applyNumberFormat="1" applyFont="1" applyFill="1" applyBorder="1" applyAlignment="1" applyProtection="1">
      <alignment vertical="center"/>
      <protection locked="0"/>
    </xf>
    <xf numFmtId="0" fontId="39" fillId="35" borderId="0" xfId="0" applyNumberFormat="1" applyFont="1" applyFill="1" applyBorder="1" applyAlignment="1" applyProtection="1">
      <alignment horizontal="center" vertical="center"/>
      <protection locked="0"/>
    </xf>
    <xf numFmtId="0" fontId="39" fillId="35" borderId="0" xfId="0" applyNumberFormat="1" applyFont="1" applyFill="1" applyBorder="1" applyAlignment="1" applyProtection="1">
      <alignment horizontal="center" vertical="center" textRotation="90"/>
      <protection locked="0"/>
    </xf>
    <xf numFmtId="0" fontId="4" fillId="35" borderId="0" xfId="0" applyNumberFormat="1" applyFont="1" applyFill="1" applyBorder="1" applyAlignment="1" applyProtection="1">
      <alignment vertical="top" textRotation="90"/>
      <protection locked="0"/>
    </xf>
    <xf numFmtId="0" fontId="5" fillId="35" borderId="0" xfId="0" applyNumberFormat="1" applyFont="1" applyFill="1" applyBorder="1" applyAlignment="1" applyProtection="1">
      <alignment vertical="top"/>
      <protection locked="0"/>
    </xf>
    <xf numFmtId="0" fontId="34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9" fillId="36" borderId="0" xfId="0" applyNumberFormat="1" applyFont="1" applyFill="1" applyBorder="1" applyAlignment="1">
      <alignment horizontal="right" vertical="top"/>
    </xf>
    <xf numFmtId="0" fontId="9" fillId="36" borderId="0" xfId="0" applyNumberFormat="1" applyFont="1" applyFill="1" applyBorder="1" applyAlignment="1" applyProtection="1">
      <alignment horizontal="right" vertical="top"/>
    </xf>
    <xf numFmtId="9" fontId="81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NumberFormat="1" applyFont="1" applyFill="1" applyBorder="1" applyAlignment="1" applyProtection="1">
      <alignment vertical="top"/>
      <protection locked="0"/>
    </xf>
    <xf numFmtId="0" fontId="4" fillId="35" borderId="14" xfId="0" applyNumberFormat="1" applyFont="1" applyFill="1" applyBorder="1" applyAlignment="1" applyProtection="1">
      <alignment horizontal="center" vertical="center"/>
      <protection locked="0"/>
    </xf>
    <xf numFmtId="0" fontId="9" fillId="36" borderId="0" xfId="0" applyNumberFormat="1" applyFont="1" applyFill="1" applyBorder="1" applyAlignment="1">
      <alignment horizontal="center" vertical="top"/>
    </xf>
    <xf numFmtId="0" fontId="1" fillId="0" borderId="10" xfId="37" applyFont="1" applyBorder="1" applyAlignment="1" applyProtection="1">
      <alignment horizontal="right" vertical="center"/>
      <protection hidden="1"/>
    </xf>
    <xf numFmtId="2" fontId="61" fillId="30" borderId="0" xfId="0" applyNumberFormat="1" applyFont="1" applyFill="1" applyBorder="1" applyAlignment="1">
      <alignment horizontal="center" vertical="center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0" xfId="37" applyFont="1" applyBorder="1" applyAlignment="1">
      <alignment horizontal="right" vertical="center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83" fillId="29" borderId="0" xfId="0" applyNumberFormat="1" applyFont="1" applyFill="1" applyBorder="1" applyAlignment="1" applyProtection="1">
      <alignment horizontal="left"/>
    </xf>
    <xf numFmtId="0" fontId="52" fillId="36" borderId="0" xfId="0" applyNumberFormat="1" applyFont="1" applyFill="1" applyBorder="1" applyAlignment="1">
      <alignment horizontal="center" vertical="top"/>
    </xf>
    <xf numFmtId="0" fontId="9" fillId="36" borderId="0" xfId="0" applyNumberFormat="1" applyFont="1" applyFill="1" applyBorder="1" applyAlignment="1" applyProtection="1">
      <alignment horizontal="left" vertical="top"/>
      <protection locked="0"/>
    </xf>
    <xf numFmtId="0" fontId="9" fillId="36" borderId="0" xfId="0" applyNumberFormat="1" applyFont="1" applyFill="1" applyBorder="1" applyAlignment="1" applyProtection="1">
      <alignment horizontal="left" vertical="top"/>
    </xf>
    <xf numFmtId="0" fontId="82" fillId="36" borderId="10" xfId="0" applyNumberFormat="1" applyFont="1" applyFill="1" applyBorder="1" applyAlignment="1" applyProtection="1">
      <alignment horizontal="center" vertical="center"/>
      <protection hidden="1"/>
    </xf>
    <xf numFmtId="49" fontId="9" fillId="36" borderId="0" xfId="0" quotePrefix="1" applyNumberFormat="1" applyFont="1" applyFill="1" applyBorder="1" applyAlignment="1" applyProtection="1">
      <alignment horizontal="left" vertical="top"/>
      <protection locked="0"/>
    </xf>
    <xf numFmtId="49" fontId="9" fillId="36" borderId="0" xfId="0" applyNumberFormat="1" applyFont="1" applyFill="1" applyBorder="1" applyAlignment="1" applyProtection="1">
      <alignment horizontal="left" vertical="top"/>
      <protection locked="0"/>
    </xf>
    <xf numFmtId="0" fontId="9" fillId="36" borderId="0" xfId="0" applyNumberFormat="1" applyFont="1" applyFill="1" applyBorder="1" applyAlignment="1">
      <alignment horizontal="left" vertical="top"/>
    </xf>
    <xf numFmtId="0" fontId="9" fillId="36" borderId="0" xfId="0" applyNumberFormat="1" applyFont="1" applyFill="1" applyBorder="1" applyAlignment="1">
      <alignment horizontal="right" vertical="top"/>
    </xf>
    <xf numFmtId="0" fontId="9" fillId="36" borderId="0" xfId="0" applyNumberFormat="1" applyFont="1" applyFill="1" applyBorder="1" applyAlignment="1" applyProtection="1">
      <alignment horizontal="left" vertical="top" wrapText="1"/>
      <protection locked="0"/>
    </xf>
    <xf numFmtId="0" fontId="0" fillId="36" borderId="0" xfId="0" applyFill="1" applyBorder="1" applyAlignment="1">
      <alignment vertical="top" wrapText="1"/>
    </xf>
    <xf numFmtId="0" fontId="9" fillId="36" borderId="0" xfId="0" applyNumberFormat="1" applyFont="1" applyFill="1" applyBorder="1" applyAlignment="1" applyProtection="1">
      <alignment horizontal="right" vertical="top"/>
    </xf>
    <xf numFmtId="0" fontId="43" fillId="36" borderId="10" xfId="0" applyNumberFormat="1" applyFont="1" applyFill="1" applyBorder="1" applyAlignment="1">
      <alignment horizontal="center" vertical="center" wrapText="1"/>
    </xf>
    <xf numFmtId="0" fontId="9" fillId="36" borderId="10" xfId="0" applyFont="1" applyFill="1" applyBorder="1" applyAlignment="1">
      <alignment horizontal="center" vertical="center" wrapText="1"/>
    </xf>
    <xf numFmtId="0" fontId="9" fillId="36" borderId="10" xfId="0" applyNumberFormat="1" applyFont="1" applyFill="1" applyBorder="1" applyAlignment="1" applyProtection="1">
      <alignment horizontal="center" vertical="center"/>
      <protection hidden="1"/>
    </xf>
    <xf numFmtId="0" fontId="85" fillId="39" borderId="10" xfId="0" applyNumberFormat="1" applyFont="1" applyFill="1" applyBorder="1" applyAlignment="1" applyProtection="1">
      <alignment horizontal="center" vertical="center" wrapText="1"/>
      <protection hidden="1"/>
    </xf>
    <xf numFmtId="0" fontId="79" fillId="37" borderId="12" xfId="0" applyNumberFormat="1" applyFont="1" applyFill="1" applyBorder="1" applyAlignment="1" applyProtection="1">
      <alignment horizontal="center" vertical="center" wrapText="1"/>
      <protection hidden="1"/>
    </xf>
    <xf numFmtId="0" fontId="79" fillId="37" borderId="13" xfId="0" applyNumberFormat="1" applyFont="1" applyFill="1" applyBorder="1" applyAlignment="1" applyProtection="1">
      <alignment horizontal="center" vertical="center" wrapText="1"/>
      <protection hidden="1"/>
    </xf>
    <xf numFmtId="0" fontId="79" fillId="37" borderId="14" xfId="0" applyNumberFormat="1" applyFont="1" applyFill="1" applyBorder="1" applyAlignment="1" applyProtection="1">
      <alignment horizontal="center" vertical="center" wrapText="1"/>
      <protection hidden="1"/>
    </xf>
    <xf numFmtId="9" fontId="80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80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80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80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57" fillId="36" borderId="0" xfId="0" applyNumberFormat="1" applyFont="1" applyFill="1" applyBorder="1" applyAlignment="1" applyProtection="1">
      <alignment horizontal="center" vertical="top"/>
      <protection locked="0"/>
    </xf>
    <xf numFmtId="0" fontId="42" fillId="36" borderId="0" xfId="0" applyNumberFormat="1" applyFont="1" applyFill="1" applyBorder="1" applyAlignment="1">
      <alignment horizontal="center" vertical="center"/>
    </xf>
    <xf numFmtId="0" fontId="68" fillId="38" borderId="18" xfId="0" applyNumberFormat="1" applyFont="1" applyFill="1" applyBorder="1" applyAlignment="1" applyProtection="1">
      <alignment horizontal="center" vertical="top" wrapText="1"/>
      <protection hidden="1"/>
    </xf>
    <xf numFmtId="0" fontId="68" fillId="38" borderId="17" xfId="0" applyNumberFormat="1" applyFont="1" applyFill="1" applyBorder="1" applyAlignment="1" applyProtection="1">
      <alignment horizontal="center" vertical="top" wrapText="1"/>
      <protection hidden="1"/>
    </xf>
    <xf numFmtId="0" fontId="68" fillId="38" borderId="19" xfId="0" applyNumberFormat="1" applyFont="1" applyFill="1" applyBorder="1" applyAlignment="1" applyProtection="1">
      <alignment horizontal="center" vertical="top" wrapText="1"/>
      <protection hidden="1"/>
    </xf>
    <xf numFmtId="2" fontId="63" fillId="28" borderId="0" xfId="44" applyNumberFormat="1" applyFont="1" applyFill="1" applyBorder="1" applyAlignment="1" applyProtection="1">
      <alignment horizontal="center" vertical="center" wrapText="1"/>
    </xf>
    <xf numFmtId="2" fontId="64" fillId="28" borderId="0" xfId="0" applyNumberFormat="1" applyFont="1" applyFill="1" applyBorder="1" applyAlignment="1">
      <alignment horizontal="center" vertical="center"/>
    </xf>
    <xf numFmtId="2" fontId="65" fillId="32" borderId="0" xfId="0" applyNumberFormat="1" applyFont="1" applyFill="1" applyBorder="1" applyAlignment="1">
      <alignment horizontal="center" vertical="center"/>
    </xf>
    <xf numFmtId="2" fontId="56" fillId="27" borderId="11" xfId="0" applyNumberFormat="1" applyFont="1" applyFill="1" applyBorder="1" applyAlignment="1">
      <alignment horizontal="center" vertical="center"/>
    </xf>
    <xf numFmtId="1" fontId="69" fillId="31" borderId="0" xfId="0" applyNumberFormat="1" applyFont="1" applyFill="1" applyBorder="1" applyAlignment="1">
      <alignment horizontal="center" vertical="center" wrapText="1"/>
    </xf>
    <xf numFmtId="1" fontId="60" fillId="30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1" fillId="30" borderId="0" xfId="0" applyNumberFormat="1" applyFont="1" applyFill="1" applyBorder="1" applyAlignment="1">
      <alignment horizontal="center" vertical="center"/>
    </xf>
    <xf numFmtId="0" fontId="40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1" fillId="0" borderId="0" xfId="37" applyFont="1" applyFill="1" applyAlignment="1">
      <alignment horizontal="center" vertical="top" wrapText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12" xfId="37" applyFont="1" applyFill="1" applyBorder="1" applyAlignment="1" applyProtection="1">
      <alignment horizontal="left" vertical="center"/>
      <protection hidden="1"/>
    </xf>
    <xf numFmtId="0" fontId="1" fillId="0" borderId="13" xfId="37" applyFont="1" applyFill="1" applyBorder="1" applyAlignment="1" applyProtection="1">
      <alignment horizontal="left" vertical="center"/>
      <protection hidden="1"/>
    </xf>
    <xf numFmtId="0" fontId="1" fillId="0" borderId="14" xfId="37" applyFont="1" applyFill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center" wrapText="1"/>
      <protection hidden="1"/>
    </xf>
    <xf numFmtId="0" fontId="1" fillId="0" borderId="13" xfId="37" applyFont="1" applyBorder="1" applyAlignment="1" applyProtection="1">
      <alignment horizontal="left" vertical="center" wrapText="1"/>
      <protection hidden="1"/>
    </xf>
    <xf numFmtId="0" fontId="1" fillId="0" borderId="14" xfId="37" applyFont="1" applyBorder="1" applyAlignment="1" applyProtection="1">
      <alignment horizontal="left" vertical="center" wrapText="1"/>
      <protection hidden="1"/>
    </xf>
    <xf numFmtId="0" fontId="45" fillId="0" borderId="0" xfId="37" applyFont="1" applyAlignment="1" applyProtection="1">
      <alignment horizontal="center" vertical="center"/>
      <protection hidden="1"/>
    </xf>
    <xf numFmtId="0" fontId="6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7" fillId="0" borderId="0" xfId="37" applyFont="1" applyFill="1" applyAlignment="1">
      <alignment horizontal="center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2" fontId="33" fillId="0" borderId="10" xfId="37" applyNumberFormat="1" applyFont="1" applyBorder="1" applyAlignment="1">
      <alignment horizontal="center" vertical="center"/>
    </xf>
    <xf numFmtId="0" fontId="45" fillId="0" borderId="0" xfId="37" applyFont="1" applyAlignment="1">
      <alignment horizontal="center" vertical="center"/>
    </xf>
    <xf numFmtId="0" fontId="53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4" xfId="37" applyFont="1" applyBorder="1" applyAlignment="1">
      <alignment horizontal="left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0" xfId="37" applyFont="1" applyBorder="1" applyAlignment="1">
      <alignment horizontal="center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2" xfId="37" applyFont="1" applyFill="1" applyBorder="1" applyAlignment="1">
      <alignment horizontal="left" vertical="center"/>
    </xf>
    <xf numFmtId="0" fontId="1" fillId="0" borderId="13" xfId="37" applyFont="1" applyFill="1" applyBorder="1" applyAlignment="1">
      <alignment horizontal="left" vertical="center"/>
    </xf>
    <xf numFmtId="0" fontId="1" fillId="0" borderId="14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0" xfId="37" applyFont="1" applyFill="1" applyBorder="1" applyAlignment="1">
      <alignment horizontal="left"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 wrapText="1"/>
    </xf>
    <xf numFmtId="0" fontId="1" fillId="0" borderId="13" xfId="37" applyFont="1" applyBorder="1" applyAlignment="1">
      <alignment horizontal="left" vertical="center" wrapText="1"/>
    </xf>
    <xf numFmtId="0" fontId="1" fillId="0" borderId="14" xfId="37" applyFont="1" applyBorder="1" applyAlignment="1">
      <alignment horizontal="left" vertical="center" wrapText="1"/>
    </xf>
    <xf numFmtId="0" fontId="41" fillId="0" borderId="12" xfId="37" applyFont="1" applyBorder="1" applyAlignment="1">
      <alignment horizontal="center" vertical="center"/>
    </xf>
    <xf numFmtId="0" fontId="41" fillId="0" borderId="13" xfId="37" applyFont="1" applyBorder="1" applyAlignment="1">
      <alignment horizontal="center" vertical="center"/>
    </xf>
    <xf numFmtId="0" fontId="41" fillId="0" borderId="14" xfId="37" applyFont="1" applyBorder="1" applyAlignment="1">
      <alignment horizontal="center" vertical="center"/>
    </xf>
    <xf numFmtId="0" fontId="41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9" fontId="41" fillId="0" borderId="10" xfId="37" applyNumberFormat="1" applyFont="1" applyBorder="1" applyAlignment="1">
      <alignment horizontal="center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1" fillId="0" borderId="21" xfId="37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1" fontId="5" fillId="36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Border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71" fillId="36" borderId="18" xfId="0" applyNumberFormat="1" applyFont="1" applyFill="1" applyBorder="1" applyAlignment="1" applyProtection="1">
      <alignment horizontal="center"/>
      <protection hidden="1"/>
    </xf>
    <xf numFmtId="1" fontId="71" fillId="36" borderId="17" xfId="0" applyNumberFormat="1" applyFont="1" applyFill="1" applyBorder="1" applyAlignment="1" applyProtection="1">
      <alignment horizontal="center"/>
      <protection hidden="1"/>
    </xf>
    <xf numFmtId="1" fontId="71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Border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72" fillId="36" borderId="36" xfId="0" applyNumberFormat="1" applyFont="1" applyFill="1" applyBorder="1" applyAlignment="1" applyProtection="1">
      <alignment horizontal="center"/>
      <protection hidden="1"/>
    </xf>
    <xf numFmtId="1" fontId="72" fillId="36" borderId="0" xfId="0" applyNumberFormat="1" applyFont="1" applyFill="1" applyBorder="1" applyAlignment="1" applyProtection="1">
      <alignment horizontal="center"/>
      <protection hidden="1"/>
    </xf>
    <xf numFmtId="1" fontId="72" fillId="36" borderId="35" xfId="0" applyNumberFormat="1" applyFont="1" applyFill="1" applyBorder="1" applyAlignment="1" applyProtection="1">
      <alignment horizontal="center"/>
      <protection hidden="1"/>
    </xf>
    <xf numFmtId="1" fontId="72" fillId="36" borderId="16" xfId="0" applyNumberFormat="1" applyFont="1" applyFill="1" applyBorder="1" applyAlignment="1" applyProtection="1">
      <alignment horizontal="center"/>
      <protection hidden="1"/>
    </xf>
    <xf numFmtId="1" fontId="72" fillId="36" borderId="11" xfId="0" applyNumberFormat="1" applyFont="1" applyFill="1" applyBorder="1" applyAlignment="1" applyProtection="1">
      <alignment horizontal="center"/>
      <protection hidden="1"/>
    </xf>
    <xf numFmtId="1" fontId="72" fillId="36" borderId="20" xfId="0" applyNumberFormat="1" applyFont="1" applyFill="1" applyBorder="1" applyAlignment="1" applyProtection="1">
      <alignment horizont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73" fillId="36" borderId="45" xfId="45" applyNumberFormat="1" applyFont="1" applyFill="1" applyBorder="1" applyAlignment="1" applyProtection="1">
      <alignment horizontal="left" vertical="top"/>
      <protection hidden="1"/>
    </xf>
    <xf numFmtId="1" fontId="73" fillId="36" borderId="17" xfId="45" applyNumberFormat="1" applyFont="1" applyFill="1" applyBorder="1" applyAlignment="1" applyProtection="1">
      <alignment horizontal="left" vertical="top"/>
      <protection hidden="1"/>
    </xf>
    <xf numFmtId="1" fontId="73" fillId="36" borderId="19" xfId="45" applyNumberFormat="1" applyFont="1" applyFill="1" applyBorder="1" applyAlignment="1" applyProtection="1">
      <alignment horizontal="left" vertical="top"/>
      <protection hidden="1"/>
    </xf>
    <xf numFmtId="1" fontId="73" fillId="36" borderId="47" xfId="45" applyNumberFormat="1" applyFont="1" applyFill="1" applyBorder="1" applyAlignment="1" applyProtection="1">
      <alignment horizontal="left" vertical="top"/>
      <protection hidden="1"/>
    </xf>
    <xf numFmtId="1" fontId="73" fillId="36" borderId="0" xfId="45" applyNumberFormat="1" applyFont="1" applyFill="1" applyBorder="1" applyAlignment="1" applyProtection="1">
      <alignment horizontal="left" vertical="top"/>
      <protection hidden="1"/>
    </xf>
    <xf numFmtId="1" fontId="73" fillId="36" borderId="35" xfId="45" applyNumberFormat="1" applyFont="1" applyFill="1" applyBorder="1" applyAlignment="1" applyProtection="1">
      <alignment horizontal="left" vertical="top"/>
      <protection hidden="1"/>
    </xf>
    <xf numFmtId="1" fontId="73" fillId="36" borderId="49" xfId="45" applyNumberFormat="1" applyFont="1" applyFill="1" applyBorder="1" applyAlignment="1" applyProtection="1">
      <alignment horizontal="left" vertical="top"/>
      <protection hidden="1"/>
    </xf>
    <xf numFmtId="1" fontId="73" fillId="36" borderId="11" xfId="45" applyNumberFormat="1" applyFont="1" applyFill="1" applyBorder="1" applyAlignment="1" applyProtection="1">
      <alignment horizontal="left" vertical="top"/>
      <protection hidden="1"/>
    </xf>
    <xf numFmtId="1" fontId="73" fillId="36" borderId="20" xfId="45" applyNumberFormat="1" applyFont="1" applyFill="1" applyBorder="1" applyAlignment="1" applyProtection="1">
      <alignment horizontal="left" vertical="top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71" fillId="36" borderId="18" xfId="0" applyNumberFormat="1" applyFont="1" applyFill="1" applyBorder="1" applyAlignment="1" applyProtection="1">
      <alignment horizontal="center" vertical="center"/>
      <protection hidden="1"/>
    </xf>
    <xf numFmtId="1" fontId="71" fillId="36" borderId="17" xfId="0" applyNumberFormat="1" applyFont="1" applyFill="1" applyBorder="1" applyAlignment="1" applyProtection="1">
      <alignment vertical="center"/>
      <protection hidden="1"/>
    </xf>
    <xf numFmtId="1" fontId="71" fillId="36" borderId="19" xfId="0" applyNumberFormat="1" applyFont="1" applyFill="1" applyBorder="1" applyAlignment="1" applyProtection="1">
      <alignment vertical="center"/>
      <protection hidden="1"/>
    </xf>
    <xf numFmtId="1" fontId="71" fillId="36" borderId="16" xfId="0" applyNumberFormat="1" applyFont="1" applyFill="1" applyBorder="1" applyAlignment="1" applyProtection="1">
      <alignment vertical="center"/>
      <protection hidden="1"/>
    </xf>
    <xf numFmtId="1" fontId="71" fillId="36" borderId="11" xfId="0" applyNumberFormat="1" applyFont="1" applyFill="1" applyBorder="1" applyAlignment="1" applyProtection="1">
      <alignment vertical="center"/>
      <protection hidden="1"/>
    </xf>
    <xf numFmtId="1" fontId="71" fillId="36" borderId="20" xfId="0" applyNumberFormat="1" applyFont="1" applyFill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8" fillId="36" borderId="36" xfId="0" applyNumberFormat="1" applyFont="1" applyFill="1" applyBorder="1" applyAlignment="1" applyProtection="1">
      <alignment horizontal="center"/>
      <protection hidden="1"/>
    </xf>
    <xf numFmtId="1" fontId="8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30" fillId="36" borderId="18" xfId="45" applyNumberFormat="1" applyFont="1" applyFill="1" applyBorder="1" applyAlignment="1" applyProtection="1">
      <alignment horizontal="center"/>
      <protection hidden="1"/>
    </xf>
    <xf numFmtId="1" fontId="30" fillId="36" borderId="17" xfId="45" applyNumberFormat="1" applyFont="1" applyFill="1" applyBorder="1" applyAlignment="1" applyProtection="1">
      <alignment horizontal="center"/>
      <protection hidden="1"/>
    </xf>
    <xf numFmtId="1" fontId="30" fillId="36" borderId="13" xfId="45" applyNumberFormat="1" applyFont="1" applyFill="1" applyBorder="1" applyAlignment="1" applyProtection="1">
      <alignment horizontal="center"/>
      <protection hidden="1"/>
    </xf>
    <xf numFmtId="1" fontId="30" fillId="36" borderId="14" xfId="45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73" fillId="36" borderId="18" xfId="45" applyNumberFormat="1" applyFont="1" applyFill="1" applyBorder="1" applyAlignment="1" applyProtection="1">
      <alignment horizontal="center"/>
      <protection hidden="1"/>
    </xf>
    <xf numFmtId="1" fontId="73" fillId="36" borderId="17" xfId="45" applyNumberFormat="1" applyFont="1" applyFill="1" applyBorder="1" applyAlignment="1" applyProtection="1">
      <alignment horizontal="center"/>
      <protection hidden="1"/>
    </xf>
    <xf numFmtId="1" fontId="73" fillId="36" borderId="19" xfId="45" applyNumberFormat="1" applyFont="1" applyFill="1" applyBorder="1" applyAlignment="1" applyProtection="1">
      <alignment horizontal="center"/>
      <protection hidden="1"/>
    </xf>
    <xf numFmtId="1" fontId="8" fillId="36" borderId="18" xfId="0" applyNumberFormat="1" applyFont="1" applyFill="1" applyBorder="1" applyAlignment="1" applyProtection="1">
      <alignment horizontal="center"/>
      <protection hidden="1"/>
    </xf>
    <xf numFmtId="1" fontId="8" fillId="36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73" fillId="36" borderId="36" xfId="45" applyNumberFormat="1" applyFont="1" applyFill="1" applyBorder="1" applyAlignment="1" applyProtection="1">
      <alignment horizontal="center"/>
      <protection hidden="1"/>
    </xf>
    <xf numFmtId="1" fontId="73" fillId="36" borderId="0" xfId="45" applyNumberFormat="1" applyFont="1" applyFill="1" applyBorder="1" applyAlignment="1" applyProtection="1">
      <alignment horizontal="center"/>
      <protection hidden="1"/>
    </xf>
    <xf numFmtId="1" fontId="73" fillId="36" borderId="35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74" fillId="36" borderId="12" xfId="45" applyNumberFormat="1" applyFont="1" applyFill="1" applyBorder="1" applyAlignment="1" applyProtection="1">
      <alignment horizontal="center"/>
      <protection hidden="1"/>
    </xf>
    <xf numFmtId="1" fontId="74" fillId="36" borderId="13" xfId="45" applyNumberFormat="1" applyFont="1" applyFill="1" applyBorder="1" applyAlignment="1" applyProtection="1">
      <alignment horizontal="center"/>
      <protection hidden="1"/>
    </xf>
    <xf numFmtId="1" fontId="74" fillId="36" borderId="14" xfId="45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8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8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8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8" fillId="36" borderId="16" xfId="0" applyNumberFormat="1" applyFont="1" applyFill="1" applyBorder="1" applyAlignment="1" applyProtection="1">
      <alignment horizontal="center"/>
      <protection hidden="1"/>
    </xf>
    <xf numFmtId="1" fontId="48" fillId="36" borderId="11" xfId="0" applyNumberFormat="1" applyFont="1" applyFill="1" applyBorder="1" applyAlignment="1" applyProtection="1">
      <alignment horizontal="center"/>
      <protection hidden="1"/>
    </xf>
    <xf numFmtId="1" fontId="48" fillId="36" borderId="0" xfId="0" applyNumberFormat="1" applyFont="1" applyFill="1" applyBorder="1" applyAlignment="1" applyProtection="1">
      <alignment horizontal="center"/>
      <protection hidden="1"/>
    </xf>
    <xf numFmtId="1" fontId="48" fillId="36" borderId="20" xfId="0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75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75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75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50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50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6" fillId="36" borderId="52" xfId="45" applyNumberFormat="1" applyFont="1" applyFill="1" applyBorder="1" applyAlignment="1" applyProtection="1">
      <alignment horizontal="center"/>
      <protection locked="0" hidden="1"/>
    </xf>
    <xf numFmtId="1" fontId="48" fillId="36" borderId="36" xfId="45" applyNumberFormat="1" applyFont="1" applyFill="1" applyBorder="1" applyAlignment="1" applyProtection="1">
      <alignment horizontal="center"/>
      <protection hidden="1"/>
    </xf>
    <xf numFmtId="1" fontId="48" fillId="36" borderId="35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1" fontId="5" fillId="36" borderId="20" xfId="45" applyNumberFormat="1" applyFont="1" applyFill="1" applyBorder="1" applyAlignment="1" applyProtection="1">
      <alignment horizontal="center"/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74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2" name="Rounded Rectangle 1"/>
        <xdr:cNvSpPr/>
      </xdr:nvSpPr>
      <xdr:spPr>
        <a:xfrm>
          <a:off x="6800850" y="95250"/>
          <a:ext cx="1200150" cy="2952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66675</xdr:colOff>
      <xdr:row>0</xdr:row>
      <xdr:rowOff>95250</xdr:rowOff>
    </xdr:from>
    <xdr:to>
      <xdr:col>17</xdr:col>
      <xdr:colOff>0</xdr:colOff>
      <xdr:row>1</xdr:row>
      <xdr:rowOff>123825</xdr:rowOff>
    </xdr:to>
    <xdr:sp macro="" textlink="">
      <xdr:nvSpPr>
        <xdr:cNvPr id="2" name="Rounded Rectangle 1"/>
        <xdr:cNvSpPr/>
      </xdr:nvSpPr>
      <xdr:spPr>
        <a:xfrm>
          <a:off x="7077075" y="95250"/>
          <a:ext cx="1247775" cy="2667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NEW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COMETAX-CALCULATOR-2021-22-WITH-FORM-16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B6" t="str">
            <v>PARMANAND MEGHWAL</v>
          </cell>
          <cell r="D6" t="str">
            <v>HANUMAN SAHAY REGAR</v>
          </cell>
        </row>
        <row r="8">
          <cell r="D8" t="str">
            <v>PRINCIPAL</v>
          </cell>
        </row>
      </sheetData>
      <sheetData sheetId="1" refreshError="1"/>
      <sheetData sheetId="2">
        <row r="9">
          <cell r="B9">
            <v>0</v>
          </cell>
        </row>
      </sheetData>
      <sheetData sheetId="3">
        <row r="33">
          <cell r="Q33">
            <v>0</v>
          </cell>
        </row>
        <row r="36">
          <cell r="Q36">
            <v>0</v>
          </cell>
        </row>
        <row r="37">
          <cell r="Q37">
            <v>0</v>
          </cell>
        </row>
        <row r="38">
          <cell r="Q38">
            <v>0</v>
          </cell>
        </row>
        <row r="39">
          <cell r="Q39">
            <v>0</v>
          </cell>
        </row>
        <row r="40">
          <cell r="Q40">
            <v>0</v>
          </cell>
        </row>
        <row r="41">
          <cell r="Q41">
            <v>0</v>
          </cell>
        </row>
        <row r="42">
          <cell r="Q42">
            <v>0</v>
          </cell>
        </row>
        <row r="43">
          <cell r="Q43">
            <v>0</v>
          </cell>
        </row>
        <row r="55">
          <cell r="Q55">
            <v>0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E955"/>
  <sheetViews>
    <sheetView showGridLines="0" tabSelected="1" zoomScale="85" zoomScaleNormal="85" workbookViewId="0">
      <selection activeCell="C1" sqref="C1:AC1"/>
    </sheetView>
  </sheetViews>
  <sheetFormatPr defaultColWidth="0" defaultRowHeight="12.75" zeroHeight="1"/>
  <cols>
    <col min="1" max="1" width="0.42578125" style="102" customWidth="1" collapsed="1"/>
    <col min="2" max="2" width="14.5703125" style="102" hidden="1" customWidth="1" collapsed="1"/>
    <col min="3" max="3" width="14.5703125" style="135" customWidth="1" collapsed="1"/>
    <col min="4" max="4" width="9.140625" style="135" customWidth="1" collapsed="1"/>
    <col min="5" max="7" width="5" style="135" customWidth="1" collapsed="1"/>
    <col min="8" max="8" width="9.85546875" style="135" customWidth="1" collapsed="1"/>
    <col min="9" max="9" width="6.85546875" style="135" customWidth="1" collapsed="1"/>
    <col min="10" max="10" width="5" style="135" customWidth="1" collapsed="1"/>
    <col min="11" max="13" width="6" style="135" customWidth="1" collapsed="1"/>
    <col min="14" max="14" width="8.42578125" style="135" customWidth="1" collapsed="1"/>
    <col min="15" max="15" width="8.7109375" style="135" customWidth="1" collapsed="1"/>
    <col min="16" max="16" width="5.85546875" style="135" customWidth="1" collapsed="1"/>
    <col min="17" max="17" width="5.7109375" style="135" customWidth="1" collapsed="1"/>
    <col min="18" max="18" width="8.85546875" style="135" customWidth="1" collapsed="1"/>
    <col min="19" max="19" width="5.5703125" style="135" customWidth="1" collapsed="1"/>
    <col min="20" max="20" width="8.28515625" style="135" customWidth="1" collapsed="1"/>
    <col min="21" max="21" width="6.42578125" style="135" bestFit="1" customWidth="1" collapsed="1"/>
    <col min="22" max="23" width="6" style="135" customWidth="1" collapsed="1"/>
    <col min="24" max="24" width="7.7109375" style="135" customWidth="1" collapsed="1"/>
    <col min="25" max="25" width="6" style="135" customWidth="1" collapsed="1"/>
    <col min="26" max="26" width="6" style="135" customWidth="1"/>
    <col min="27" max="27" width="10.5703125" style="135" customWidth="1" collapsed="1"/>
    <col min="28" max="28" width="12.42578125" style="135" customWidth="1" collapsed="1"/>
    <col min="29" max="29" width="15.42578125" style="135" customWidth="1" collapsed="1"/>
    <col min="30" max="31" width="9.140625" style="259" hidden="1" customWidth="1"/>
    <col min="32" max="16384" width="9.140625" style="102" hidden="1" collapsed="1"/>
  </cols>
  <sheetData>
    <row r="1" spans="2:31" ht="31.5" customHeight="1">
      <c r="C1" s="287" t="s">
        <v>341</v>
      </c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50" t="s">
        <v>179</v>
      </c>
      <c r="AE1" s="250" t="s">
        <v>179</v>
      </c>
    </row>
    <row r="2" spans="2:31" ht="28.5" customHeight="1">
      <c r="C2" s="247" t="s">
        <v>342</v>
      </c>
      <c r="D2" s="293" t="s">
        <v>179</v>
      </c>
      <c r="E2" s="294"/>
      <c r="F2" s="288" t="s">
        <v>69</v>
      </c>
      <c r="G2" s="289"/>
      <c r="H2" s="289"/>
      <c r="I2" s="293" t="s">
        <v>179</v>
      </c>
      <c r="J2" s="294"/>
      <c r="K2" s="288" t="s">
        <v>343</v>
      </c>
      <c r="L2" s="289"/>
      <c r="M2" s="289"/>
      <c r="N2" s="289"/>
      <c r="O2" s="248">
        <v>10</v>
      </c>
      <c r="P2" s="288" t="s">
        <v>139</v>
      </c>
      <c r="Q2" s="290"/>
      <c r="R2" s="249">
        <v>0.09</v>
      </c>
      <c r="S2" s="288" t="s">
        <v>345</v>
      </c>
      <c r="T2" s="289"/>
      <c r="U2" s="290"/>
      <c r="V2" s="291" t="s">
        <v>179</v>
      </c>
      <c r="W2" s="292"/>
      <c r="X2" s="288" t="s">
        <v>344</v>
      </c>
      <c r="Y2" s="289"/>
      <c r="Z2" s="289"/>
      <c r="AA2" s="290"/>
      <c r="AB2" s="248" t="s">
        <v>133</v>
      </c>
      <c r="AC2" s="247"/>
      <c r="AD2" s="250" t="s">
        <v>133</v>
      </c>
      <c r="AE2" s="250" t="s">
        <v>133</v>
      </c>
    </row>
    <row r="3" spans="2:31" ht="5.25" customHeight="1" thickBot="1">
      <c r="C3" s="297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9"/>
      <c r="AD3" s="251">
        <v>0.09</v>
      </c>
      <c r="AE3" s="252"/>
    </row>
    <row r="4" spans="2:31" ht="36" customHeight="1">
      <c r="B4" s="103"/>
      <c r="C4" s="295" t="s">
        <v>153</v>
      </c>
      <c r="D4" s="295"/>
      <c r="E4" s="295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5"/>
      <c r="V4" s="295"/>
      <c r="W4" s="295"/>
      <c r="X4" s="295"/>
      <c r="Y4" s="295"/>
      <c r="Z4" s="295"/>
      <c r="AA4" s="295"/>
      <c r="AB4" s="295"/>
      <c r="AC4" s="295"/>
      <c r="AD4" s="263">
        <v>0.18</v>
      </c>
      <c r="AE4" s="252"/>
    </row>
    <row r="5" spans="2:31" ht="32.1" customHeight="1">
      <c r="B5" s="104"/>
      <c r="C5" s="296" t="s">
        <v>183</v>
      </c>
      <c r="D5" s="296"/>
      <c r="E5" s="296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296"/>
      <c r="S5" s="296"/>
      <c r="T5" s="296"/>
      <c r="U5" s="296"/>
      <c r="V5" s="296"/>
      <c r="W5" s="296"/>
      <c r="X5" s="296"/>
      <c r="Y5" s="296"/>
      <c r="Z5" s="296"/>
      <c r="AA5" s="296"/>
      <c r="AB5" s="296"/>
      <c r="AC5" s="296"/>
      <c r="AD5" s="264"/>
      <c r="AE5" s="252"/>
    </row>
    <row r="6" spans="2:31" s="105" customFormat="1" ht="20.45" customHeight="1">
      <c r="B6" s="106"/>
      <c r="C6" s="266" t="s">
        <v>154</v>
      </c>
      <c r="D6" s="281" t="s">
        <v>338</v>
      </c>
      <c r="E6" s="282"/>
      <c r="F6" s="282"/>
      <c r="G6" s="282"/>
      <c r="H6" s="282"/>
      <c r="I6" s="280"/>
      <c r="J6" s="280"/>
      <c r="K6" s="274" t="s">
        <v>155</v>
      </c>
      <c r="L6" s="274"/>
      <c r="M6" s="274"/>
      <c r="N6" s="274"/>
      <c r="O6" s="261" t="s">
        <v>27</v>
      </c>
      <c r="P6" s="274" t="s">
        <v>156</v>
      </c>
      <c r="Q6" s="274"/>
      <c r="R6" s="274"/>
      <c r="S6" s="74"/>
      <c r="T6" s="262" t="s">
        <v>132</v>
      </c>
      <c r="U6" s="274" t="s">
        <v>157</v>
      </c>
      <c r="V6" s="274"/>
      <c r="W6" s="274"/>
      <c r="X6" s="75"/>
      <c r="Y6" s="279" t="s">
        <v>159</v>
      </c>
      <c r="Z6" s="279"/>
      <c r="AA6" s="279"/>
      <c r="AB6" s="277" t="s">
        <v>158</v>
      </c>
      <c r="AC6" s="278"/>
      <c r="AD6" s="265" t="s">
        <v>179</v>
      </c>
      <c r="AE6" s="250" t="s">
        <v>179</v>
      </c>
    </row>
    <row r="7" spans="2:31" s="105" customFormat="1" ht="22.5" customHeight="1">
      <c r="B7" s="106"/>
      <c r="C7" s="261"/>
      <c r="D7" s="282"/>
      <c r="E7" s="282"/>
      <c r="F7" s="282"/>
      <c r="G7" s="282"/>
      <c r="H7" s="282"/>
      <c r="I7" s="283"/>
      <c r="J7" s="283"/>
      <c r="K7" s="76"/>
      <c r="L7" s="76"/>
      <c r="M7" s="276" t="s">
        <v>178</v>
      </c>
      <c r="N7" s="276"/>
      <c r="O7" s="276"/>
      <c r="P7" s="276"/>
      <c r="Q7" s="276"/>
      <c r="R7" s="276"/>
      <c r="S7" s="276"/>
      <c r="T7" s="276"/>
      <c r="U7" s="76"/>
      <c r="V7" s="76"/>
      <c r="W7" s="74"/>
      <c r="X7" s="74"/>
      <c r="Y7" s="275" t="s">
        <v>160</v>
      </c>
      <c r="Z7" s="275"/>
      <c r="AA7" s="275"/>
      <c r="AB7" s="274">
        <v>9784379510</v>
      </c>
      <c r="AC7" s="274"/>
      <c r="AD7" s="265" t="s">
        <v>133</v>
      </c>
      <c r="AE7" s="250" t="s">
        <v>133</v>
      </c>
    </row>
    <row r="8" spans="2:31" s="105" customFormat="1" ht="22.5" customHeight="1">
      <c r="B8" s="106"/>
      <c r="C8" s="284" t="s">
        <v>14</v>
      </c>
      <c r="D8" s="285" t="s">
        <v>340</v>
      </c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6" t="s">
        <v>339</v>
      </c>
      <c r="P8" s="286"/>
      <c r="Q8" s="286"/>
      <c r="R8" s="286"/>
      <c r="S8" s="286"/>
      <c r="T8" s="286"/>
      <c r="U8" s="286"/>
      <c r="V8" s="286"/>
      <c r="W8" s="286"/>
      <c r="X8" s="286"/>
      <c r="Y8" s="286"/>
      <c r="Z8" s="286"/>
      <c r="AA8" s="286"/>
      <c r="AB8" s="77"/>
      <c r="AC8" s="284" t="s">
        <v>163</v>
      </c>
      <c r="AD8" s="253"/>
      <c r="AE8" s="253"/>
    </row>
    <row r="9" spans="2:31" s="107" customFormat="1" ht="108.75" customHeight="1">
      <c r="B9" s="108"/>
      <c r="C9" s="284"/>
      <c r="D9" s="114" t="s">
        <v>2</v>
      </c>
      <c r="E9" s="115" t="s">
        <v>3</v>
      </c>
      <c r="F9" s="115" t="s">
        <v>89</v>
      </c>
      <c r="G9" s="115" t="s">
        <v>23</v>
      </c>
      <c r="H9" s="114" t="s">
        <v>24</v>
      </c>
      <c r="I9" s="114" t="s">
        <v>137</v>
      </c>
      <c r="J9" s="115" t="s">
        <v>95</v>
      </c>
      <c r="K9" s="115" t="s">
        <v>130</v>
      </c>
      <c r="L9" s="115" t="s">
        <v>134</v>
      </c>
      <c r="M9" s="115" t="s">
        <v>135</v>
      </c>
      <c r="N9" s="116" t="s">
        <v>94</v>
      </c>
      <c r="O9" s="114" t="str">
        <f>IF(D2="No","GPF","GPF 2004")</f>
        <v>GPF 2004</v>
      </c>
      <c r="P9" s="117" t="str">
        <f>IF(D2="No","GPF LOAN","")</f>
        <v/>
      </c>
      <c r="Q9" s="114" t="s">
        <v>15</v>
      </c>
      <c r="R9" s="114" t="s">
        <v>1</v>
      </c>
      <c r="S9" s="114" t="s">
        <v>181</v>
      </c>
      <c r="T9" s="114" t="s">
        <v>6</v>
      </c>
      <c r="U9" s="114" t="s">
        <v>129</v>
      </c>
      <c r="V9" s="117" t="s">
        <v>92</v>
      </c>
      <c r="W9" s="117" t="s">
        <v>91</v>
      </c>
      <c r="X9" s="117" t="s">
        <v>88</v>
      </c>
      <c r="Y9" s="115" t="s">
        <v>180</v>
      </c>
      <c r="Z9" s="115" t="s">
        <v>336</v>
      </c>
      <c r="AA9" s="114" t="s">
        <v>93</v>
      </c>
      <c r="AB9" s="116" t="s">
        <v>131</v>
      </c>
      <c r="AC9" s="284"/>
      <c r="AD9" s="254"/>
      <c r="AE9" s="254"/>
    </row>
    <row r="10" spans="2:31" s="109" customFormat="1" ht="18.95" customHeight="1">
      <c r="B10" s="110">
        <v>3</v>
      </c>
      <c r="C10" s="118">
        <v>44621</v>
      </c>
      <c r="D10" s="260">
        <v>46500</v>
      </c>
      <c r="E10" s="119">
        <v>0</v>
      </c>
      <c r="F10" s="119">
        <v>0</v>
      </c>
      <c r="G10" s="119">
        <v>0</v>
      </c>
      <c r="H10" s="119">
        <f>ROUND(31%*D10,0)</f>
        <v>14415</v>
      </c>
      <c r="I10" s="119">
        <f>IF($R$2=18%,ROUND(0.18*D10,0),ROUND(0.09*D10,0))</f>
        <v>4185</v>
      </c>
      <c r="J10" s="119">
        <v>0</v>
      </c>
      <c r="K10" s="119">
        <v>0</v>
      </c>
      <c r="L10" s="119">
        <v>0</v>
      </c>
      <c r="M10" s="119">
        <v>0</v>
      </c>
      <c r="N10" s="120">
        <f>SUM(D10:M10)</f>
        <v>65100</v>
      </c>
      <c r="O10" s="119">
        <f>IF(D10&lt;23101,1450,IF(D10&lt;28501,1625,IF(D10&lt;38501,2100,IF(D10&lt;51501,2850,IF(D10&lt;62001,3575,IF(D10&lt;72001,4200,IF(D10&lt;80001,4800,IF(D10&lt;116001,6150,IF(D10&lt;167001,8900,10500)))))))))</f>
        <v>2850</v>
      </c>
      <c r="P10" s="119">
        <v>0</v>
      </c>
      <c r="Q10" s="119">
        <v>3000</v>
      </c>
      <c r="R10" s="119">
        <v>0</v>
      </c>
      <c r="S10" s="119">
        <f>IF(D10&lt;18001,265,IF(D10&lt;33501,440,IF(D10&lt;54001,658,875)))</f>
        <v>658</v>
      </c>
      <c r="T10" s="119">
        <v>590</v>
      </c>
      <c r="U10" s="119">
        <v>0</v>
      </c>
      <c r="V10" s="119"/>
      <c r="W10" s="119"/>
      <c r="X10" s="119">
        <v>5000</v>
      </c>
      <c r="Y10" s="121"/>
      <c r="Z10" s="122"/>
      <c r="AA10" s="123">
        <f>SUM(O10:Y10)</f>
        <v>12098</v>
      </c>
      <c r="AB10" s="124">
        <f t="shared" ref="AB10:AB30" si="0">N10-AA10</f>
        <v>53002</v>
      </c>
      <c r="AC10" s="125"/>
      <c r="AD10" s="255"/>
      <c r="AE10" s="256">
        <v>4</v>
      </c>
    </row>
    <row r="11" spans="2:31" s="109" customFormat="1" ht="18.95" customHeight="1">
      <c r="B11" s="110">
        <v>4</v>
      </c>
      <c r="C11" s="118">
        <v>44652</v>
      </c>
      <c r="D11" s="119">
        <f t="shared" ref="D11:D13" si="1">D10</f>
        <v>46500</v>
      </c>
      <c r="E11" s="119">
        <f>IF(E$10=0,0,ROUND(D11/2,0))</f>
        <v>0</v>
      </c>
      <c r="F11" s="119">
        <f t="shared" ref="F11:G16" si="2">IF(F$10=0,0,F10)</f>
        <v>0</v>
      </c>
      <c r="G11" s="119">
        <f t="shared" si="2"/>
        <v>0</v>
      </c>
      <c r="H11" s="119">
        <f>ROUND(34%*D11,0)</f>
        <v>15810</v>
      </c>
      <c r="I11" s="119">
        <f t="shared" ref="I11:I21" si="3">IF($R$2=18%,ROUND(0.18*D11,0),ROUND(0.09*D11,0))</f>
        <v>4185</v>
      </c>
      <c r="J11" s="119">
        <f t="shared" ref="J11:J21" si="4">IF(J$10=0,0,J10)</f>
        <v>0</v>
      </c>
      <c r="K11" s="119">
        <f t="shared" ref="K11:L21" si="5">IF(K$10=0,0,K10)</f>
        <v>0</v>
      </c>
      <c r="L11" s="119">
        <f t="shared" si="5"/>
        <v>0</v>
      </c>
      <c r="M11" s="119">
        <f t="shared" ref="M11:M21" si="6">IF(M$10=0,0,M10)</f>
        <v>0</v>
      </c>
      <c r="N11" s="120">
        <f t="shared" ref="N11:N30" si="7">SUM(D11:M11)</f>
        <v>66495</v>
      </c>
      <c r="O11" s="119">
        <f t="shared" ref="O11:O21" si="8">IF(D11&lt;23101,1450,IF(D11&lt;28501,1625,IF(D11&lt;38501,2100,IF(D11&lt;51501,2850,IF(D11&lt;62001,3575,IF(D11&lt;72001,4200,IF(D11&lt;80001,4800,IF(D11&lt;116001,6150,IF(D11&lt;167001,8900,10500)))))))))</f>
        <v>2850</v>
      </c>
      <c r="P11" s="119">
        <f>P10</f>
        <v>0</v>
      </c>
      <c r="Q11" s="119">
        <f>Q10</f>
        <v>3000</v>
      </c>
      <c r="R11" s="119">
        <f>R10</f>
        <v>0</v>
      </c>
      <c r="S11" s="119">
        <f t="shared" ref="S11:S21" si="9">IF(D11&lt;18001,265,IF(D11&lt;33501,440,IF(D11&lt;54001,658,875)))</f>
        <v>658</v>
      </c>
      <c r="T11" s="119">
        <f>T10</f>
        <v>590</v>
      </c>
      <c r="U11" s="126"/>
      <c r="V11" s="119">
        <f t="shared" ref="V11:Y21" si="10">V10</f>
        <v>0</v>
      </c>
      <c r="W11" s="119">
        <f t="shared" si="10"/>
        <v>0</v>
      </c>
      <c r="X11" s="119">
        <f>X10</f>
        <v>5000</v>
      </c>
      <c r="Y11" s="119">
        <f t="shared" si="10"/>
        <v>0</v>
      </c>
      <c r="Z11" s="122"/>
      <c r="AA11" s="123">
        <f t="shared" ref="AA11:AA30" si="11">SUM(O11:Y11)</f>
        <v>12098</v>
      </c>
      <c r="AB11" s="124">
        <f t="shared" si="0"/>
        <v>54397</v>
      </c>
      <c r="AC11" s="125"/>
      <c r="AD11" s="255"/>
      <c r="AE11" s="256">
        <v>5</v>
      </c>
    </row>
    <row r="12" spans="2:31" s="109" customFormat="1" ht="18.95" customHeight="1">
      <c r="B12" s="110">
        <v>5</v>
      </c>
      <c r="C12" s="118">
        <v>44682</v>
      </c>
      <c r="D12" s="119">
        <f t="shared" si="1"/>
        <v>46500</v>
      </c>
      <c r="E12" s="119">
        <f t="shared" ref="E12:E21" si="12">IF($E$10=0,0,ROUND(D12/2,0))</f>
        <v>0</v>
      </c>
      <c r="F12" s="119">
        <f t="shared" si="2"/>
        <v>0</v>
      </c>
      <c r="G12" s="119">
        <f t="shared" si="2"/>
        <v>0</v>
      </c>
      <c r="H12" s="119">
        <f t="shared" ref="H12:H16" si="13">ROUND(34%*D12,0)</f>
        <v>15810</v>
      </c>
      <c r="I12" s="119">
        <f t="shared" si="3"/>
        <v>4185</v>
      </c>
      <c r="J12" s="119">
        <f t="shared" si="4"/>
        <v>0</v>
      </c>
      <c r="K12" s="119">
        <f t="shared" ref="K12" si="14">IF(K$10=0,0,K11)</f>
        <v>0</v>
      </c>
      <c r="L12" s="119">
        <f>IF(L$10=0,0,L11)</f>
        <v>0</v>
      </c>
      <c r="M12" s="119">
        <f t="shared" si="6"/>
        <v>0</v>
      </c>
      <c r="N12" s="120">
        <f t="shared" si="7"/>
        <v>66495</v>
      </c>
      <c r="O12" s="119">
        <f t="shared" si="8"/>
        <v>2850</v>
      </c>
      <c r="P12" s="119">
        <f t="shared" ref="P12:P21" si="15">P11</f>
        <v>0</v>
      </c>
      <c r="Q12" s="119">
        <f t="shared" ref="Q12:Q21" si="16">Q11</f>
        <v>3000</v>
      </c>
      <c r="R12" s="119">
        <f t="shared" ref="R12:R21" si="17">R11</f>
        <v>0</v>
      </c>
      <c r="S12" s="119">
        <f t="shared" si="9"/>
        <v>658</v>
      </c>
      <c r="T12" s="119">
        <f t="shared" ref="T12:T21" si="18">T11</f>
        <v>590</v>
      </c>
      <c r="U12" s="119">
        <v>0</v>
      </c>
      <c r="V12" s="119">
        <f t="shared" si="10"/>
        <v>0</v>
      </c>
      <c r="W12" s="119">
        <f t="shared" si="10"/>
        <v>0</v>
      </c>
      <c r="X12" s="119">
        <f t="shared" si="10"/>
        <v>5000</v>
      </c>
      <c r="Y12" s="119">
        <f t="shared" ref="Y12" si="19">Y11</f>
        <v>0</v>
      </c>
      <c r="Z12" s="122"/>
      <c r="AA12" s="123">
        <f t="shared" si="11"/>
        <v>12098</v>
      </c>
      <c r="AB12" s="124">
        <f t="shared" si="0"/>
        <v>54397</v>
      </c>
      <c r="AC12" s="125"/>
      <c r="AD12" s="255"/>
      <c r="AE12" s="256">
        <v>6</v>
      </c>
    </row>
    <row r="13" spans="2:31" s="109" customFormat="1" ht="18.95" customHeight="1">
      <c r="B13" s="110">
        <v>6</v>
      </c>
      <c r="C13" s="118">
        <v>44713</v>
      </c>
      <c r="D13" s="119">
        <f t="shared" si="1"/>
        <v>46500</v>
      </c>
      <c r="E13" s="119">
        <f t="shared" si="12"/>
        <v>0</v>
      </c>
      <c r="F13" s="119">
        <f t="shared" si="2"/>
        <v>0</v>
      </c>
      <c r="G13" s="119">
        <f t="shared" si="2"/>
        <v>0</v>
      </c>
      <c r="H13" s="119">
        <f t="shared" si="13"/>
        <v>15810</v>
      </c>
      <c r="I13" s="119">
        <f t="shared" si="3"/>
        <v>4185</v>
      </c>
      <c r="J13" s="119">
        <f t="shared" si="4"/>
        <v>0</v>
      </c>
      <c r="K13" s="119">
        <f t="shared" si="5"/>
        <v>0</v>
      </c>
      <c r="L13" s="119">
        <f t="shared" si="5"/>
        <v>0</v>
      </c>
      <c r="M13" s="119">
        <f t="shared" si="6"/>
        <v>0</v>
      </c>
      <c r="N13" s="120">
        <f t="shared" si="7"/>
        <v>66495</v>
      </c>
      <c r="O13" s="119">
        <f t="shared" si="8"/>
        <v>2850</v>
      </c>
      <c r="P13" s="119">
        <f t="shared" si="15"/>
        <v>0</v>
      </c>
      <c r="Q13" s="119">
        <f t="shared" si="16"/>
        <v>3000</v>
      </c>
      <c r="R13" s="119">
        <f t="shared" si="17"/>
        <v>0</v>
      </c>
      <c r="S13" s="119">
        <f t="shared" si="9"/>
        <v>658</v>
      </c>
      <c r="T13" s="119">
        <f t="shared" si="18"/>
        <v>590</v>
      </c>
      <c r="U13" s="119">
        <v>0</v>
      </c>
      <c r="V13" s="119">
        <f t="shared" si="10"/>
        <v>0</v>
      </c>
      <c r="W13" s="119">
        <f t="shared" si="10"/>
        <v>0</v>
      </c>
      <c r="X13" s="119">
        <f t="shared" si="10"/>
        <v>5000</v>
      </c>
      <c r="Y13" s="119">
        <f t="shared" ref="Y13" si="20">Y12</f>
        <v>0</v>
      </c>
      <c r="Z13" s="122"/>
      <c r="AA13" s="123">
        <f t="shared" si="11"/>
        <v>12098</v>
      </c>
      <c r="AB13" s="124">
        <f t="shared" si="0"/>
        <v>54397</v>
      </c>
      <c r="AC13" s="125"/>
      <c r="AD13" s="255"/>
      <c r="AE13" s="256">
        <v>7</v>
      </c>
    </row>
    <row r="14" spans="2:31" s="109" customFormat="1" ht="18.95" customHeight="1">
      <c r="B14" s="110">
        <v>7</v>
      </c>
      <c r="C14" s="118">
        <v>44743</v>
      </c>
      <c r="D14" s="119">
        <f>MROUND(ROUND(1.03*D13,0),100)</f>
        <v>47900</v>
      </c>
      <c r="E14" s="119">
        <f t="shared" si="12"/>
        <v>0</v>
      </c>
      <c r="F14" s="119">
        <f>IF(F$10=0,0,F13)</f>
        <v>0</v>
      </c>
      <c r="G14" s="119">
        <f>IF(G$10=0,0,G13)</f>
        <v>0</v>
      </c>
      <c r="H14" s="119">
        <f t="shared" si="13"/>
        <v>16286</v>
      </c>
      <c r="I14" s="119">
        <f t="shared" si="3"/>
        <v>4311</v>
      </c>
      <c r="J14" s="119">
        <f>IF(J$10=0,0,J13)</f>
        <v>0</v>
      </c>
      <c r="K14" s="119">
        <f t="shared" ref="K14" si="21">IF(K$10=0,0,K13)</f>
        <v>0</v>
      </c>
      <c r="L14" s="119">
        <f>IF(L$10=0,0,L13)</f>
        <v>0</v>
      </c>
      <c r="M14" s="119">
        <f>IF(M$10=0,0,M13)</f>
        <v>0</v>
      </c>
      <c r="N14" s="120">
        <f t="shared" si="7"/>
        <v>68497</v>
      </c>
      <c r="O14" s="119">
        <f t="shared" si="8"/>
        <v>2850</v>
      </c>
      <c r="P14" s="119">
        <f>P13</f>
        <v>0</v>
      </c>
      <c r="Q14" s="119">
        <f>Q13</f>
        <v>3000</v>
      </c>
      <c r="R14" s="119">
        <f>R13</f>
        <v>0</v>
      </c>
      <c r="S14" s="119">
        <f t="shared" si="9"/>
        <v>658</v>
      </c>
      <c r="T14" s="119">
        <f>T13</f>
        <v>590</v>
      </c>
      <c r="U14" s="119">
        <v>0</v>
      </c>
      <c r="V14" s="119">
        <f>V13</f>
        <v>0</v>
      </c>
      <c r="W14" s="119">
        <f>W13</f>
        <v>0</v>
      </c>
      <c r="X14" s="119">
        <f t="shared" ref="X14:Y21" si="22">X13</f>
        <v>5000</v>
      </c>
      <c r="Y14" s="119">
        <f t="shared" si="22"/>
        <v>0</v>
      </c>
      <c r="Z14" s="122"/>
      <c r="AA14" s="123">
        <f t="shared" si="11"/>
        <v>12098</v>
      </c>
      <c r="AB14" s="124">
        <f t="shared" si="0"/>
        <v>56399</v>
      </c>
      <c r="AC14" s="125"/>
      <c r="AD14" s="255"/>
      <c r="AE14" s="256">
        <v>8</v>
      </c>
    </row>
    <row r="15" spans="2:31" s="109" customFormat="1" ht="18.95" customHeight="1">
      <c r="B15" s="110">
        <v>8</v>
      </c>
      <c r="C15" s="118">
        <v>44774</v>
      </c>
      <c r="D15" s="119">
        <f t="shared" ref="D15:D21" si="23">D14</f>
        <v>47900</v>
      </c>
      <c r="E15" s="119">
        <f t="shared" si="12"/>
        <v>0</v>
      </c>
      <c r="F15" s="119">
        <f t="shared" si="2"/>
        <v>0</v>
      </c>
      <c r="G15" s="119">
        <f t="shared" si="2"/>
        <v>0</v>
      </c>
      <c r="H15" s="119">
        <f t="shared" si="13"/>
        <v>16286</v>
      </c>
      <c r="I15" s="119">
        <f t="shared" si="3"/>
        <v>4311</v>
      </c>
      <c r="J15" s="119">
        <f t="shared" si="4"/>
        <v>0</v>
      </c>
      <c r="K15" s="119">
        <f t="shared" si="5"/>
        <v>0</v>
      </c>
      <c r="L15" s="119">
        <f t="shared" si="5"/>
        <v>0</v>
      </c>
      <c r="M15" s="119">
        <f t="shared" si="6"/>
        <v>0</v>
      </c>
      <c r="N15" s="120">
        <f t="shared" si="7"/>
        <v>68497</v>
      </c>
      <c r="O15" s="119">
        <f t="shared" si="8"/>
        <v>2850</v>
      </c>
      <c r="P15" s="119">
        <f t="shared" si="15"/>
        <v>0</v>
      </c>
      <c r="Q15" s="119">
        <f t="shared" si="16"/>
        <v>3000</v>
      </c>
      <c r="R15" s="119">
        <f t="shared" si="17"/>
        <v>0</v>
      </c>
      <c r="S15" s="119">
        <f t="shared" si="9"/>
        <v>658</v>
      </c>
      <c r="T15" s="119">
        <f t="shared" si="18"/>
        <v>590</v>
      </c>
      <c r="U15" s="119">
        <v>0</v>
      </c>
      <c r="V15" s="119">
        <f t="shared" si="10"/>
        <v>0</v>
      </c>
      <c r="W15" s="119">
        <f t="shared" si="10"/>
        <v>0</v>
      </c>
      <c r="X15" s="119">
        <f t="shared" si="22"/>
        <v>5000</v>
      </c>
      <c r="Y15" s="119">
        <f t="shared" si="22"/>
        <v>0</v>
      </c>
      <c r="Z15" s="122"/>
      <c r="AA15" s="123">
        <f t="shared" si="11"/>
        <v>12098</v>
      </c>
      <c r="AB15" s="124">
        <f t="shared" si="0"/>
        <v>56399</v>
      </c>
      <c r="AC15" s="125"/>
      <c r="AD15" s="255"/>
      <c r="AE15" s="256">
        <v>9</v>
      </c>
    </row>
    <row r="16" spans="2:31" s="109" customFormat="1" ht="18.95" customHeight="1">
      <c r="B16" s="110">
        <v>9</v>
      </c>
      <c r="C16" s="118">
        <v>44805</v>
      </c>
      <c r="D16" s="119">
        <f t="shared" si="23"/>
        <v>47900</v>
      </c>
      <c r="E16" s="119">
        <f t="shared" si="12"/>
        <v>0</v>
      </c>
      <c r="F16" s="119">
        <f t="shared" si="2"/>
        <v>0</v>
      </c>
      <c r="G16" s="119">
        <f t="shared" si="2"/>
        <v>0</v>
      </c>
      <c r="H16" s="119">
        <f t="shared" si="13"/>
        <v>16286</v>
      </c>
      <c r="I16" s="119">
        <f t="shared" si="3"/>
        <v>4311</v>
      </c>
      <c r="J16" s="119">
        <f t="shared" si="4"/>
        <v>0</v>
      </c>
      <c r="K16" s="119">
        <f t="shared" si="5"/>
        <v>0</v>
      </c>
      <c r="L16" s="119">
        <f t="shared" si="5"/>
        <v>0</v>
      </c>
      <c r="M16" s="119">
        <f t="shared" si="6"/>
        <v>0</v>
      </c>
      <c r="N16" s="120">
        <f t="shared" si="7"/>
        <v>68497</v>
      </c>
      <c r="O16" s="119">
        <f t="shared" si="8"/>
        <v>2850</v>
      </c>
      <c r="P16" s="119">
        <f t="shared" si="15"/>
        <v>0</v>
      </c>
      <c r="Q16" s="119">
        <f t="shared" si="16"/>
        <v>3000</v>
      </c>
      <c r="R16" s="119">
        <f t="shared" si="17"/>
        <v>0</v>
      </c>
      <c r="S16" s="119">
        <f t="shared" si="9"/>
        <v>658</v>
      </c>
      <c r="T16" s="119">
        <f t="shared" si="18"/>
        <v>590</v>
      </c>
      <c r="U16" s="119">
        <v>0</v>
      </c>
      <c r="V16" s="119">
        <f t="shared" si="10"/>
        <v>0</v>
      </c>
      <c r="W16" s="119">
        <f t="shared" si="10"/>
        <v>0</v>
      </c>
      <c r="X16" s="119">
        <f t="shared" si="22"/>
        <v>5000</v>
      </c>
      <c r="Y16" s="119">
        <f t="shared" si="22"/>
        <v>0</v>
      </c>
      <c r="Z16" s="122"/>
      <c r="AA16" s="123">
        <f t="shared" si="11"/>
        <v>12098</v>
      </c>
      <c r="AB16" s="124">
        <f t="shared" si="0"/>
        <v>56399</v>
      </c>
      <c r="AC16" s="125"/>
      <c r="AD16" s="255"/>
      <c r="AE16" s="256">
        <v>10</v>
      </c>
    </row>
    <row r="17" spans="2:31" s="109" customFormat="1" ht="18.95" customHeight="1">
      <c r="B17" s="110">
        <v>10</v>
      </c>
      <c r="C17" s="118">
        <v>44835</v>
      </c>
      <c r="D17" s="119">
        <f t="shared" si="23"/>
        <v>47900</v>
      </c>
      <c r="E17" s="119">
        <f t="shared" si="12"/>
        <v>0</v>
      </c>
      <c r="F17" s="119">
        <f>IF(F$10=0,0,F16)</f>
        <v>0</v>
      </c>
      <c r="G17" s="119">
        <f t="shared" ref="G17:G21" si="24">IF(G$10=0,0,G16)</f>
        <v>0</v>
      </c>
      <c r="H17" s="119">
        <f>ROUND(38%*D17,0)</f>
        <v>18202</v>
      </c>
      <c r="I17" s="119">
        <f t="shared" si="3"/>
        <v>4311</v>
      </c>
      <c r="J17" s="119">
        <f t="shared" si="4"/>
        <v>0</v>
      </c>
      <c r="K17" s="119">
        <f t="shared" si="5"/>
        <v>0</v>
      </c>
      <c r="L17" s="119">
        <f t="shared" si="5"/>
        <v>0</v>
      </c>
      <c r="M17" s="119">
        <f t="shared" si="6"/>
        <v>0</v>
      </c>
      <c r="N17" s="120">
        <f t="shared" si="7"/>
        <v>70413</v>
      </c>
      <c r="O17" s="119">
        <f t="shared" si="8"/>
        <v>2850</v>
      </c>
      <c r="P17" s="119">
        <f t="shared" si="15"/>
        <v>0</v>
      </c>
      <c r="Q17" s="119">
        <f t="shared" si="16"/>
        <v>3000</v>
      </c>
      <c r="R17" s="119">
        <f t="shared" si="17"/>
        <v>0</v>
      </c>
      <c r="S17" s="119">
        <f t="shared" si="9"/>
        <v>658</v>
      </c>
      <c r="T17" s="119">
        <f t="shared" si="18"/>
        <v>590</v>
      </c>
      <c r="U17" s="119">
        <v>0</v>
      </c>
      <c r="V17" s="119">
        <f t="shared" si="10"/>
        <v>0</v>
      </c>
      <c r="W17" s="119">
        <f t="shared" si="10"/>
        <v>0</v>
      </c>
      <c r="X17" s="119">
        <f t="shared" si="22"/>
        <v>5000</v>
      </c>
      <c r="Y17" s="119">
        <f t="shared" si="22"/>
        <v>0</v>
      </c>
      <c r="Z17" s="122"/>
      <c r="AA17" s="123">
        <f t="shared" si="11"/>
        <v>12098</v>
      </c>
      <c r="AB17" s="124">
        <f t="shared" si="0"/>
        <v>58315</v>
      </c>
      <c r="AC17" s="125"/>
      <c r="AD17" s="255"/>
      <c r="AE17" s="256">
        <v>11</v>
      </c>
    </row>
    <row r="18" spans="2:31" s="109" customFormat="1" ht="18.95" customHeight="1">
      <c r="B18" s="110">
        <v>11</v>
      </c>
      <c r="C18" s="118">
        <v>44866</v>
      </c>
      <c r="D18" s="119">
        <f t="shared" si="23"/>
        <v>47900</v>
      </c>
      <c r="E18" s="119">
        <f t="shared" si="12"/>
        <v>0</v>
      </c>
      <c r="F18" s="119">
        <f>IF(F$10=0,0,F17)</f>
        <v>0</v>
      </c>
      <c r="G18" s="119">
        <f t="shared" si="24"/>
        <v>0</v>
      </c>
      <c r="H18" s="119">
        <f t="shared" ref="H18:H21" si="25">ROUND(38%*D18,0)</f>
        <v>18202</v>
      </c>
      <c r="I18" s="119">
        <f t="shared" si="3"/>
        <v>4311</v>
      </c>
      <c r="J18" s="119">
        <f t="shared" si="4"/>
        <v>0</v>
      </c>
      <c r="K18" s="119">
        <f t="shared" si="5"/>
        <v>0</v>
      </c>
      <c r="L18" s="119">
        <f t="shared" si="5"/>
        <v>0</v>
      </c>
      <c r="M18" s="119">
        <f t="shared" si="6"/>
        <v>0</v>
      </c>
      <c r="N18" s="120">
        <f t="shared" si="7"/>
        <v>70413</v>
      </c>
      <c r="O18" s="119">
        <f t="shared" si="8"/>
        <v>2850</v>
      </c>
      <c r="P18" s="119">
        <f t="shared" si="15"/>
        <v>0</v>
      </c>
      <c r="Q18" s="119">
        <f t="shared" si="16"/>
        <v>3000</v>
      </c>
      <c r="R18" s="119">
        <f t="shared" si="17"/>
        <v>0</v>
      </c>
      <c r="S18" s="119">
        <f t="shared" si="9"/>
        <v>658</v>
      </c>
      <c r="T18" s="119">
        <f t="shared" si="18"/>
        <v>590</v>
      </c>
      <c r="U18" s="119">
        <v>0</v>
      </c>
      <c r="V18" s="119">
        <f t="shared" si="10"/>
        <v>0</v>
      </c>
      <c r="W18" s="119">
        <f t="shared" si="10"/>
        <v>0</v>
      </c>
      <c r="X18" s="119">
        <f t="shared" si="22"/>
        <v>5000</v>
      </c>
      <c r="Y18" s="119">
        <f t="shared" si="22"/>
        <v>0</v>
      </c>
      <c r="Z18" s="122"/>
      <c r="AA18" s="123">
        <f t="shared" si="11"/>
        <v>12098</v>
      </c>
      <c r="AB18" s="124">
        <f t="shared" si="0"/>
        <v>58315</v>
      </c>
      <c r="AC18" s="125"/>
      <c r="AD18" s="255"/>
      <c r="AE18" s="256">
        <v>12</v>
      </c>
    </row>
    <row r="19" spans="2:31" s="109" customFormat="1" ht="18.95" customHeight="1">
      <c r="B19" s="110">
        <v>12</v>
      </c>
      <c r="C19" s="118">
        <v>44896</v>
      </c>
      <c r="D19" s="119">
        <f t="shared" si="23"/>
        <v>47900</v>
      </c>
      <c r="E19" s="119">
        <f t="shared" si="12"/>
        <v>0</v>
      </c>
      <c r="F19" s="119">
        <f>IF(F$10=0,0,F18)</f>
        <v>0</v>
      </c>
      <c r="G19" s="119">
        <f t="shared" si="24"/>
        <v>0</v>
      </c>
      <c r="H19" s="119">
        <f t="shared" si="25"/>
        <v>18202</v>
      </c>
      <c r="I19" s="119">
        <f t="shared" si="3"/>
        <v>4311</v>
      </c>
      <c r="J19" s="119">
        <f t="shared" si="4"/>
        <v>0</v>
      </c>
      <c r="K19" s="119">
        <f t="shared" si="5"/>
        <v>0</v>
      </c>
      <c r="L19" s="119">
        <f t="shared" si="5"/>
        <v>0</v>
      </c>
      <c r="M19" s="119">
        <f t="shared" si="6"/>
        <v>0</v>
      </c>
      <c r="N19" s="120">
        <f t="shared" si="7"/>
        <v>70413</v>
      </c>
      <c r="O19" s="119">
        <f t="shared" si="8"/>
        <v>2850</v>
      </c>
      <c r="P19" s="119">
        <f t="shared" si="15"/>
        <v>0</v>
      </c>
      <c r="Q19" s="119">
        <f t="shared" si="16"/>
        <v>3000</v>
      </c>
      <c r="R19" s="119">
        <f t="shared" si="17"/>
        <v>0</v>
      </c>
      <c r="S19" s="119">
        <f t="shared" si="9"/>
        <v>658</v>
      </c>
      <c r="T19" s="119">
        <f t="shared" si="18"/>
        <v>590</v>
      </c>
      <c r="U19" s="119">
        <v>0</v>
      </c>
      <c r="V19" s="119">
        <f t="shared" si="10"/>
        <v>0</v>
      </c>
      <c r="W19" s="119">
        <f t="shared" si="10"/>
        <v>0</v>
      </c>
      <c r="X19" s="119">
        <f t="shared" si="22"/>
        <v>5000</v>
      </c>
      <c r="Y19" s="119">
        <v>250</v>
      </c>
      <c r="Z19" s="122"/>
      <c r="AA19" s="123">
        <f t="shared" si="11"/>
        <v>12348</v>
      </c>
      <c r="AB19" s="124">
        <f t="shared" si="0"/>
        <v>58065</v>
      </c>
      <c r="AC19" s="125"/>
      <c r="AD19" s="255"/>
      <c r="AE19" s="256">
        <v>1</v>
      </c>
    </row>
    <row r="20" spans="2:31" s="109" customFormat="1" ht="18.95" customHeight="1">
      <c r="B20" s="110">
        <v>1</v>
      </c>
      <c r="C20" s="118">
        <v>44927</v>
      </c>
      <c r="D20" s="119">
        <f t="shared" si="23"/>
        <v>47900</v>
      </c>
      <c r="E20" s="119">
        <f t="shared" si="12"/>
        <v>0</v>
      </c>
      <c r="F20" s="119">
        <f>IF(F$10=0,0,F19)</f>
        <v>0</v>
      </c>
      <c r="G20" s="119">
        <f t="shared" si="24"/>
        <v>0</v>
      </c>
      <c r="H20" s="119">
        <f t="shared" si="25"/>
        <v>18202</v>
      </c>
      <c r="I20" s="119">
        <f t="shared" si="3"/>
        <v>4311</v>
      </c>
      <c r="J20" s="119">
        <f t="shared" si="4"/>
        <v>0</v>
      </c>
      <c r="K20" s="119">
        <f t="shared" si="5"/>
        <v>0</v>
      </c>
      <c r="L20" s="119">
        <f t="shared" si="5"/>
        <v>0</v>
      </c>
      <c r="M20" s="119">
        <f t="shared" si="6"/>
        <v>0</v>
      </c>
      <c r="N20" s="120">
        <f t="shared" si="7"/>
        <v>70413</v>
      </c>
      <c r="O20" s="119">
        <f t="shared" si="8"/>
        <v>2850</v>
      </c>
      <c r="P20" s="119">
        <f t="shared" si="15"/>
        <v>0</v>
      </c>
      <c r="Q20" s="119">
        <f t="shared" si="16"/>
        <v>3000</v>
      </c>
      <c r="R20" s="119">
        <f t="shared" si="17"/>
        <v>0</v>
      </c>
      <c r="S20" s="119">
        <f t="shared" si="9"/>
        <v>658</v>
      </c>
      <c r="T20" s="119">
        <f t="shared" si="18"/>
        <v>590</v>
      </c>
      <c r="U20" s="119">
        <v>0</v>
      </c>
      <c r="V20" s="119">
        <f t="shared" si="10"/>
        <v>0</v>
      </c>
      <c r="W20" s="119">
        <f t="shared" si="10"/>
        <v>0</v>
      </c>
      <c r="X20" s="119">
        <f t="shared" si="22"/>
        <v>5000</v>
      </c>
      <c r="Y20" s="119"/>
      <c r="Z20" s="122"/>
      <c r="AA20" s="123">
        <f t="shared" si="11"/>
        <v>12098</v>
      </c>
      <c r="AB20" s="124">
        <f t="shared" si="0"/>
        <v>58315</v>
      </c>
      <c r="AC20" s="125"/>
      <c r="AD20" s="255"/>
      <c r="AE20" s="256">
        <v>2</v>
      </c>
    </row>
    <row r="21" spans="2:31" s="109" customFormat="1" ht="18.95" customHeight="1">
      <c r="B21" s="110">
        <v>2</v>
      </c>
      <c r="C21" s="118">
        <v>44958</v>
      </c>
      <c r="D21" s="119">
        <f t="shared" si="23"/>
        <v>47900</v>
      </c>
      <c r="E21" s="119">
        <f t="shared" si="12"/>
        <v>0</v>
      </c>
      <c r="F21" s="119">
        <f>IF(F$10=0,0,F20)</f>
        <v>0</v>
      </c>
      <c r="G21" s="119">
        <f t="shared" si="24"/>
        <v>0</v>
      </c>
      <c r="H21" s="119">
        <f t="shared" si="25"/>
        <v>18202</v>
      </c>
      <c r="I21" s="119">
        <f t="shared" si="3"/>
        <v>4311</v>
      </c>
      <c r="J21" s="119">
        <f t="shared" si="4"/>
        <v>0</v>
      </c>
      <c r="K21" s="119">
        <f t="shared" si="5"/>
        <v>0</v>
      </c>
      <c r="L21" s="119">
        <f t="shared" si="5"/>
        <v>0</v>
      </c>
      <c r="M21" s="119">
        <f t="shared" si="6"/>
        <v>0</v>
      </c>
      <c r="N21" s="120">
        <f t="shared" si="7"/>
        <v>70413</v>
      </c>
      <c r="O21" s="119">
        <f t="shared" si="8"/>
        <v>2850</v>
      </c>
      <c r="P21" s="119">
        <f t="shared" si="15"/>
        <v>0</v>
      </c>
      <c r="Q21" s="119">
        <f t="shared" si="16"/>
        <v>3000</v>
      </c>
      <c r="R21" s="119">
        <f t="shared" si="17"/>
        <v>0</v>
      </c>
      <c r="S21" s="119">
        <f t="shared" si="9"/>
        <v>658</v>
      </c>
      <c r="T21" s="119">
        <f t="shared" si="18"/>
        <v>590</v>
      </c>
      <c r="U21" s="119">
        <v>0</v>
      </c>
      <c r="V21" s="119">
        <f t="shared" si="10"/>
        <v>0</v>
      </c>
      <c r="W21" s="119">
        <f t="shared" si="10"/>
        <v>0</v>
      </c>
      <c r="X21" s="119">
        <f t="shared" si="22"/>
        <v>5000</v>
      </c>
      <c r="Y21" s="119"/>
      <c r="Z21" s="122"/>
      <c r="AA21" s="123">
        <f t="shared" si="11"/>
        <v>12098</v>
      </c>
      <c r="AB21" s="124">
        <f t="shared" si="0"/>
        <v>58315</v>
      </c>
      <c r="AC21" s="125"/>
      <c r="AD21" s="255"/>
      <c r="AE21" s="256">
        <v>3</v>
      </c>
    </row>
    <row r="22" spans="2:31" s="109" customFormat="1" ht="18.95" customHeight="1">
      <c r="B22" s="110"/>
      <c r="C22" s="127" t="s">
        <v>191</v>
      </c>
      <c r="D22" s="119"/>
      <c r="E22" s="119"/>
      <c r="F22" s="119"/>
      <c r="G22" s="119"/>
      <c r="H22" s="119">
        <f>(ROUND(34%*D10,0)-ROUND(31%*D10,0))*3</f>
        <v>4185</v>
      </c>
      <c r="I22" s="119"/>
      <c r="J22" s="119"/>
      <c r="K22" s="119"/>
      <c r="L22" s="119"/>
      <c r="M22" s="119"/>
      <c r="N22" s="120">
        <f>H22</f>
        <v>4185</v>
      </c>
      <c r="O22" s="119">
        <f>H22</f>
        <v>4185</v>
      </c>
      <c r="P22" s="119"/>
      <c r="Q22" s="119"/>
      <c r="R22" s="119"/>
      <c r="S22" s="119"/>
      <c r="T22" s="119">
        <v>0</v>
      </c>
      <c r="U22" s="119"/>
      <c r="V22" s="119"/>
      <c r="W22" s="119"/>
      <c r="X22" s="119"/>
      <c r="Y22" s="119"/>
      <c r="Z22" s="122"/>
      <c r="AA22" s="123">
        <f t="shared" si="11"/>
        <v>4185</v>
      </c>
      <c r="AB22" s="124">
        <f t="shared" si="0"/>
        <v>0</v>
      </c>
      <c r="AC22" s="125"/>
      <c r="AD22" s="255"/>
      <c r="AE22" s="255"/>
    </row>
    <row r="23" spans="2:31" s="109" customFormat="1" ht="18.95" customHeight="1">
      <c r="B23" s="110"/>
      <c r="C23" s="127" t="s">
        <v>333</v>
      </c>
      <c r="D23" s="119"/>
      <c r="E23" s="119"/>
      <c r="F23" s="119"/>
      <c r="G23" s="119"/>
      <c r="H23" s="119">
        <f>(ROUND(38%*D14,0)-ROUND(34%*D14,0))*3</f>
        <v>5748</v>
      </c>
      <c r="I23" s="119"/>
      <c r="J23" s="119"/>
      <c r="K23" s="119"/>
      <c r="L23" s="119"/>
      <c r="M23" s="119"/>
      <c r="N23" s="120">
        <f>H23</f>
        <v>5748</v>
      </c>
      <c r="O23" s="119">
        <f>H23</f>
        <v>5748</v>
      </c>
      <c r="P23" s="119"/>
      <c r="Q23" s="119"/>
      <c r="R23" s="119"/>
      <c r="S23" s="119"/>
      <c r="T23" s="119">
        <v>0</v>
      </c>
      <c r="U23" s="119"/>
      <c r="V23" s="119"/>
      <c r="W23" s="119"/>
      <c r="X23" s="119"/>
      <c r="Y23" s="119"/>
      <c r="Z23" s="122"/>
      <c r="AA23" s="123">
        <f t="shared" si="11"/>
        <v>5748</v>
      </c>
      <c r="AB23" s="124">
        <f t="shared" si="0"/>
        <v>0</v>
      </c>
      <c r="AC23" s="125"/>
      <c r="AD23" s="255"/>
      <c r="AE23" s="255"/>
    </row>
    <row r="24" spans="2:31" s="109" customFormat="1" ht="18.95" customHeight="1">
      <c r="B24" s="110"/>
      <c r="C24" s="128" t="s">
        <v>69</v>
      </c>
      <c r="D24" s="119">
        <f>IF(I2="NO",0,IF(O2=3,D21,VLOOKUP(O2,B10:D21,3,FALSE)))/2</f>
        <v>23950</v>
      </c>
      <c r="E24" s="119"/>
      <c r="F24" s="119"/>
      <c r="G24" s="119"/>
      <c r="H24" s="119">
        <f>IF(AND(O2&gt;3,O2&lt;7),ROUND(34%*D24,0),ROUND(38%*D24,0))</f>
        <v>9101</v>
      </c>
      <c r="I24" s="119"/>
      <c r="J24" s="119"/>
      <c r="K24" s="119"/>
      <c r="L24" s="119"/>
      <c r="M24" s="119"/>
      <c r="N24" s="120">
        <f t="shared" si="7"/>
        <v>33051</v>
      </c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22"/>
      <c r="AA24" s="123">
        <f t="shared" si="11"/>
        <v>0</v>
      </c>
      <c r="AB24" s="124">
        <f t="shared" si="0"/>
        <v>33051</v>
      </c>
      <c r="AC24" s="125"/>
      <c r="AD24" s="255"/>
      <c r="AE24" s="255"/>
    </row>
    <row r="25" spans="2:31" s="109" customFormat="1" ht="18.95" customHeight="1">
      <c r="B25" s="110"/>
      <c r="C25" s="128" t="s">
        <v>70</v>
      </c>
      <c r="D25" s="119">
        <f>IF(V2="Yes",6774,0)</f>
        <v>6774</v>
      </c>
      <c r="E25" s="119"/>
      <c r="F25" s="119"/>
      <c r="G25" s="119"/>
      <c r="H25" s="119"/>
      <c r="I25" s="119"/>
      <c r="J25" s="119"/>
      <c r="K25" s="119"/>
      <c r="L25" s="119"/>
      <c r="M25" s="119"/>
      <c r="N25" s="120">
        <f t="shared" si="7"/>
        <v>6774</v>
      </c>
      <c r="O25" s="119">
        <f>ROUND(D25*25/100,0)</f>
        <v>1694</v>
      </c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22"/>
      <c r="AA25" s="123">
        <f t="shared" si="11"/>
        <v>1694</v>
      </c>
      <c r="AB25" s="124">
        <f t="shared" si="0"/>
        <v>5080</v>
      </c>
      <c r="AC25" s="125"/>
      <c r="AD25" s="255"/>
      <c r="AE25" s="255"/>
    </row>
    <row r="26" spans="2:31" s="109" customFormat="1" ht="18.95" customHeight="1">
      <c r="B26" s="110"/>
      <c r="C26" s="127" t="s">
        <v>84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20">
        <f t="shared" si="7"/>
        <v>0</v>
      </c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22"/>
      <c r="AA26" s="123">
        <f t="shared" si="11"/>
        <v>0</v>
      </c>
      <c r="AB26" s="124">
        <f t="shared" si="0"/>
        <v>0</v>
      </c>
      <c r="AC26" s="125"/>
      <c r="AD26" s="255"/>
      <c r="AE26" s="255"/>
    </row>
    <row r="27" spans="2:31" s="109" customFormat="1" ht="18.95" customHeight="1">
      <c r="B27" s="110"/>
      <c r="C27" s="127" t="s">
        <v>146</v>
      </c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20">
        <f t="shared" si="7"/>
        <v>0</v>
      </c>
      <c r="O27" s="119"/>
      <c r="P27" s="119"/>
      <c r="Q27" s="119"/>
      <c r="R27" s="119"/>
      <c r="S27" s="119"/>
      <c r="T27" s="119"/>
      <c r="U27" s="119"/>
      <c r="V27" s="119"/>
      <c r="W27" s="119"/>
      <c r="X27" s="119"/>
      <c r="Y27" s="119"/>
      <c r="Z27" s="122"/>
      <c r="AA27" s="123">
        <f t="shared" si="11"/>
        <v>0</v>
      </c>
      <c r="AB27" s="124">
        <f t="shared" si="0"/>
        <v>0</v>
      </c>
      <c r="AC27" s="125"/>
      <c r="AD27" s="255"/>
      <c r="AE27" s="255"/>
    </row>
    <row r="28" spans="2:31" s="109" customFormat="1" ht="18.95" customHeight="1">
      <c r="B28" s="110"/>
      <c r="C28" s="127" t="s">
        <v>147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20">
        <f t="shared" si="7"/>
        <v>0</v>
      </c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22"/>
      <c r="AA28" s="123">
        <f t="shared" si="11"/>
        <v>0</v>
      </c>
      <c r="AB28" s="124">
        <f t="shared" si="0"/>
        <v>0</v>
      </c>
      <c r="AC28" s="125"/>
      <c r="AD28" s="255"/>
      <c r="AE28" s="255"/>
    </row>
    <row r="29" spans="2:31" s="109" customFormat="1" ht="18.95" customHeight="1">
      <c r="B29" s="110"/>
      <c r="C29" s="127" t="s">
        <v>148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20">
        <f t="shared" si="7"/>
        <v>0</v>
      </c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22"/>
      <c r="AA29" s="123">
        <f t="shared" si="11"/>
        <v>0</v>
      </c>
      <c r="AB29" s="124">
        <f t="shared" si="0"/>
        <v>0</v>
      </c>
      <c r="AC29" s="125"/>
      <c r="AD29" s="255"/>
      <c r="AE29" s="255"/>
    </row>
    <row r="30" spans="2:31" s="109" customFormat="1" ht="18.95" customHeight="1">
      <c r="B30" s="110"/>
      <c r="C30" s="127" t="s">
        <v>90</v>
      </c>
      <c r="D30" s="119"/>
      <c r="E30" s="119">
        <v>0</v>
      </c>
      <c r="F30" s="119">
        <v>0</v>
      </c>
      <c r="G30" s="119"/>
      <c r="H30" s="119"/>
      <c r="I30" s="119"/>
      <c r="J30" s="119"/>
      <c r="K30" s="119"/>
      <c r="L30" s="119"/>
      <c r="M30" s="119"/>
      <c r="N30" s="120">
        <f t="shared" si="7"/>
        <v>0</v>
      </c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22"/>
      <c r="AA30" s="123">
        <f t="shared" si="11"/>
        <v>0</v>
      </c>
      <c r="AB30" s="124">
        <f t="shared" si="0"/>
        <v>0</v>
      </c>
      <c r="AC30" s="125"/>
      <c r="AD30" s="255"/>
      <c r="AE30" s="255"/>
    </row>
    <row r="31" spans="2:31" s="111" customFormat="1" ht="70.5" customHeight="1" thickBot="1">
      <c r="B31" s="112"/>
      <c r="C31" s="129" t="s">
        <v>60</v>
      </c>
      <c r="D31" s="130">
        <f>SUM(D10:D30)</f>
        <v>599924</v>
      </c>
      <c r="E31" s="130">
        <f t="shared" ref="E31:AB31" si="26">SUM(E10:E30)</f>
        <v>0</v>
      </c>
      <c r="F31" s="130">
        <f t="shared" si="26"/>
        <v>0</v>
      </c>
      <c r="G31" s="130">
        <f t="shared" si="26"/>
        <v>0</v>
      </c>
      <c r="H31" s="130">
        <f t="shared" si="26"/>
        <v>220747</v>
      </c>
      <c r="I31" s="130">
        <f t="shared" si="26"/>
        <v>51228</v>
      </c>
      <c r="J31" s="130">
        <f t="shared" si="26"/>
        <v>0</v>
      </c>
      <c r="K31" s="130">
        <f t="shared" si="26"/>
        <v>0</v>
      </c>
      <c r="L31" s="130">
        <f t="shared" si="26"/>
        <v>0</v>
      </c>
      <c r="M31" s="130">
        <f t="shared" si="26"/>
        <v>0</v>
      </c>
      <c r="N31" s="130">
        <f t="shared" si="26"/>
        <v>871899</v>
      </c>
      <c r="O31" s="130">
        <f t="shared" si="26"/>
        <v>45827</v>
      </c>
      <c r="P31" s="130">
        <f t="shared" si="26"/>
        <v>0</v>
      </c>
      <c r="Q31" s="130">
        <f t="shared" si="26"/>
        <v>36000</v>
      </c>
      <c r="R31" s="130">
        <f t="shared" si="26"/>
        <v>0</v>
      </c>
      <c r="S31" s="130">
        <f t="shared" si="26"/>
        <v>7896</v>
      </c>
      <c r="T31" s="130">
        <f t="shared" si="26"/>
        <v>7080</v>
      </c>
      <c r="U31" s="131">
        <f t="shared" si="26"/>
        <v>0</v>
      </c>
      <c r="V31" s="130">
        <f t="shared" si="26"/>
        <v>0</v>
      </c>
      <c r="W31" s="130">
        <f t="shared" si="26"/>
        <v>0</v>
      </c>
      <c r="X31" s="130">
        <f t="shared" si="26"/>
        <v>60000</v>
      </c>
      <c r="Y31" s="130">
        <f t="shared" si="26"/>
        <v>250</v>
      </c>
      <c r="Z31" s="130">
        <f t="shared" si="26"/>
        <v>0</v>
      </c>
      <c r="AA31" s="130">
        <f t="shared" si="26"/>
        <v>157053</v>
      </c>
      <c r="AB31" s="132">
        <f t="shared" si="26"/>
        <v>714846</v>
      </c>
      <c r="AC31" s="133"/>
      <c r="AD31" s="257"/>
      <c r="AE31" s="257"/>
    </row>
    <row r="32" spans="2:31" s="113" customFormat="1"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258"/>
      <c r="AE32" s="258"/>
    </row>
    <row r="33" spans="3:31" s="113" customFormat="1"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258"/>
      <c r="AE33" s="258"/>
    </row>
    <row r="34" spans="3:31" s="113" customFormat="1"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258"/>
      <c r="AE34" s="258"/>
    </row>
    <row r="35" spans="3:31"/>
    <row r="36" spans="3:31">
      <c r="E36" s="136" t="s">
        <v>61</v>
      </c>
      <c r="AB36" s="136" t="s">
        <v>62</v>
      </c>
    </row>
    <row r="37" spans="3:31"/>
    <row r="38" spans="3:31">
      <c r="C38" s="273"/>
      <c r="D38" s="273"/>
      <c r="E38" s="273"/>
      <c r="F38" s="273"/>
      <c r="G38" s="273"/>
      <c r="H38" s="273"/>
      <c r="I38" s="273"/>
      <c r="J38" s="273"/>
      <c r="K38" s="273"/>
      <c r="L38" s="273"/>
      <c r="M38" s="273"/>
      <c r="N38" s="273"/>
      <c r="O38" s="273"/>
      <c r="P38" s="273"/>
      <c r="Q38" s="273"/>
      <c r="R38" s="273"/>
      <c r="S38" s="273"/>
      <c r="T38" s="273"/>
      <c r="U38" s="273"/>
      <c r="V38" s="273"/>
      <c r="W38" s="273"/>
      <c r="X38" s="273"/>
      <c r="Y38" s="273"/>
      <c r="Z38" s="273"/>
      <c r="AA38" s="273"/>
      <c r="AB38" s="273"/>
      <c r="AC38" s="273"/>
    </row>
    <row r="39" spans="3:31" hidden="1"/>
    <row r="40" spans="3:31" hidden="1"/>
    <row r="41" spans="3:31" hidden="1"/>
    <row r="42" spans="3:31" hidden="1"/>
    <row r="43" spans="3:31" hidden="1"/>
    <row r="44" spans="3:31" hidden="1"/>
    <row r="45" spans="3:31" hidden="1"/>
    <row r="46" spans="3:31" hidden="1"/>
    <row r="47" spans="3:31" hidden="1"/>
    <row r="48" spans="3:31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4:AC4"/>
    <mergeCell ref="C5:AC5"/>
    <mergeCell ref="D2:E2"/>
    <mergeCell ref="S2:U2"/>
    <mergeCell ref="C3:AC3"/>
    <mergeCell ref="C1:AC1"/>
    <mergeCell ref="X2:AA2"/>
    <mergeCell ref="V2:W2"/>
    <mergeCell ref="F2:H2"/>
    <mergeCell ref="I2:J2"/>
    <mergeCell ref="K2:N2"/>
    <mergeCell ref="P2:Q2"/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</mergeCells>
  <phoneticPr fontId="0" type="noConversion"/>
  <conditionalFormatting sqref="D23:Y23 Y11:Y30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>
      <formula1>$AD$1:$AD$2</formula1>
    </dataValidation>
    <dataValidation type="list" allowBlank="1" showInputMessage="1" showErrorMessage="1" sqref="O2">
      <formula1>$AE$10:$AE$21</formula1>
    </dataValidation>
    <dataValidation type="list" allowBlank="1" showInputMessage="1" showErrorMessage="1" sqref="I2:J2">
      <formula1>$AE$1:$AE$2</formula1>
    </dataValidation>
    <dataValidation type="list" allowBlank="1" showInputMessage="1" showErrorMessage="1" sqref="R2">
      <formula1>$AD$3:$AD$4</formula1>
    </dataValidation>
    <dataValidation type="list" allowBlank="1" showInputMessage="1" showErrorMessage="1" sqref="V2:W2">
      <formula1>$AD$6:$AD$7</formula1>
    </dataValidation>
    <dataValidation type="list" allowBlank="1" showInputMessage="1" showErrorMessage="1" sqref="AB2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E12" sqref="E12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3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302" t="s">
        <v>138</v>
      </c>
      <c r="B1" s="302"/>
      <c r="C1" s="302"/>
      <c r="D1" s="302"/>
      <c r="E1" s="302"/>
      <c r="F1" s="302"/>
    </row>
    <row r="2" spans="1:122" ht="27.75" customHeight="1">
      <c r="A2" s="303" t="str">
        <f>'GA-55'!D6&amp; " ,   " &amp;'GA-55'!K6&amp;"                         PAN-  "&amp;'GA-55'!P6</f>
        <v>PARMANAND MEGHWAL ,   SR TEACHER                         PAN-  ASQPM6311G</v>
      </c>
      <c r="B2" s="303"/>
      <c r="C2" s="303"/>
      <c r="D2" s="303"/>
      <c r="E2" s="303"/>
      <c r="F2" s="303"/>
    </row>
    <row r="3" spans="1:122" ht="15" customHeight="1">
      <c r="A3" s="64" t="s">
        <v>116</v>
      </c>
      <c r="B3" s="54">
        <v>0</v>
      </c>
      <c r="C3" s="55"/>
      <c r="D3" s="64" t="s">
        <v>352</v>
      </c>
      <c r="E3" s="54">
        <v>0</v>
      </c>
      <c r="F3" s="50" t="s">
        <v>162</v>
      </c>
      <c r="DR3" s="3" t="s">
        <v>17</v>
      </c>
    </row>
    <row r="4" spans="1:122" ht="17.25">
      <c r="A4" s="65" t="s">
        <v>176</v>
      </c>
      <c r="B4" s="56">
        <v>0</v>
      </c>
      <c r="C4" s="57"/>
      <c r="D4" s="66" t="s">
        <v>353</v>
      </c>
      <c r="E4" s="56">
        <v>0</v>
      </c>
      <c r="F4" s="50">
        <f>'GA-55'!N31-'GA-55'!I31</f>
        <v>820671</v>
      </c>
      <c r="DR4" s="3"/>
    </row>
    <row r="5" spans="1:122" ht="15" customHeight="1">
      <c r="A5" s="64" t="s">
        <v>177</v>
      </c>
      <c r="B5" s="54">
        <v>0</v>
      </c>
      <c r="C5" s="55"/>
      <c r="D5" s="64" t="s">
        <v>354</v>
      </c>
      <c r="E5" s="54">
        <v>0</v>
      </c>
      <c r="F5" s="51" t="s">
        <v>25</v>
      </c>
      <c r="DR5" s="3"/>
    </row>
    <row r="6" spans="1:122" ht="17.25" customHeight="1">
      <c r="A6" s="66" t="s">
        <v>117</v>
      </c>
      <c r="B6" s="56">
        <v>0</v>
      </c>
      <c r="C6" s="57"/>
      <c r="D6" s="66" t="s">
        <v>355</v>
      </c>
      <c r="E6" s="56">
        <v>0</v>
      </c>
      <c r="F6" s="51">
        <f>'Tax Old Regime'!Q47</f>
        <v>732990</v>
      </c>
      <c r="DR6" s="3"/>
    </row>
    <row r="7" spans="1:122" ht="15" customHeight="1">
      <c r="A7" s="64" t="s">
        <v>118</v>
      </c>
      <c r="B7" s="54">
        <v>0</v>
      </c>
      <c r="C7" s="55"/>
      <c r="D7" s="73" t="s">
        <v>356</v>
      </c>
      <c r="E7" s="54">
        <v>0</v>
      </c>
      <c r="F7" s="52" t="s">
        <v>68</v>
      </c>
      <c r="DR7" s="3"/>
    </row>
    <row r="8" spans="1:122" ht="15" customHeight="1">
      <c r="A8" s="67" t="s">
        <v>119</v>
      </c>
      <c r="B8" s="58">
        <v>0</v>
      </c>
      <c r="C8" s="57"/>
      <c r="D8" s="66" t="s">
        <v>357</v>
      </c>
      <c r="E8" s="58">
        <v>0</v>
      </c>
      <c r="F8" s="53">
        <f>'GA-55'!X31</f>
        <v>60000</v>
      </c>
      <c r="DR8" s="3"/>
    </row>
    <row r="9" spans="1:122" ht="15" customHeight="1">
      <c r="A9" s="64" t="s">
        <v>120</v>
      </c>
      <c r="B9" s="54">
        <v>0</v>
      </c>
      <c r="C9" s="55"/>
      <c r="D9" s="64" t="s">
        <v>358</v>
      </c>
      <c r="E9" s="54">
        <v>0</v>
      </c>
      <c r="F9" s="304" t="s">
        <v>108</v>
      </c>
      <c r="DR9" s="3"/>
    </row>
    <row r="10" spans="1:122" ht="15" customHeight="1">
      <c r="A10" s="67" t="s">
        <v>121</v>
      </c>
      <c r="B10" s="58">
        <v>0</v>
      </c>
      <c r="C10" s="57"/>
      <c r="D10" s="67" t="s">
        <v>359</v>
      </c>
      <c r="E10" s="58">
        <v>0</v>
      </c>
      <c r="F10" s="304"/>
      <c r="DR10" s="3" t="s">
        <v>18</v>
      </c>
    </row>
    <row r="11" spans="1:122" ht="15" customHeight="1">
      <c r="A11" s="64" t="s">
        <v>172</v>
      </c>
      <c r="B11" s="54">
        <v>0</v>
      </c>
      <c r="C11" s="55"/>
      <c r="D11" s="64" t="s">
        <v>360</v>
      </c>
      <c r="E11" s="54">
        <v>0</v>
      </c>
      <c r="F11" s="304"/>
      <c r="DR11" s="3" t="s">
        <v>20</v>
      </c>
    </row>
    <row r="12" spans="1:122" ht="15" customHeight="1">
      <c r="A12" s="67" t="s">
        <v>173</v>
      </c>
      <c r="B12" s="58">
        <v>0</v>
      </c>
      <c r="C12" s="57"/>
      <c r="D12" s="67" t="s">
        <v>361</v>
      </c>
      <c r="E12" s="58">
        <v>0</v>
      </c>
      <c r="F12" s="51">
        <f>'Tax Old Regime'!Q31</f>
        <v>88907</v>
      </c>
      <c r="DR12" s="3" t="s">
        <v>4</v>
      </c>
    </row>
    <row r="13" spans="1:122" ht="15" customHeight="1">
      <c r="A13" s="64" t="s">
        <v>122</v>
      </c>
      <c r="B13" s="54">
        <v>0</v>
      </c>
      <c r="C13" s="55"/>
      <c r="D13" s="64" t="s">
        <v>362</v>
      </c>
      <c r="E13" s="54">
        <v>0</v>
      </c>
      <c r="F13" s="51"/>
      <c r="DR13" s="3"/>
    </row>
    <row r="14" spans="1:122" ht="15" customHeight="1">
      <c r="A14" s="67" t="s">
        <v>174</v>
      </c>
      <c r="B14" s="58">
        <v>0</v>
      </c>
      <c r="C14" s="57"/>
      <c r="D14" s="67" t="s">
        <v>363</v>
      </c>
      <c r="E14" s="58">
        <v>0</v>
      </c>
      <c r="F14" s="305" t="s">
        <v>8</v>
      </c>
      <c r="DR14" s="3" t="s">
        <v>0</v>
      </c>
    </row>
    <row r="15" spans="1:122" ht="15" customHeight="1">
      <c r="A15" s="64" t="s">
        <v>123</v>
      </c>
      <c r="B15" s="54">
        <v>0</v>
      </c>
      <c r="C15" s="55"/>
      <c r="D15" s="64" t="s">
        <v>364</v>
      </c>
      <c r="E15" s="54">
        <v>0</v>
      </c>
      <c r="F15" s="305"/>
      <c r="DR15" s="3" t="s">
        <v>20</v>
      </c>
    </row>
    <row r="16" spans="1:122" ht="15" customHeight="1">
      <c r="A16" s="67" t="s">
        <v>124</v>
      </c>
      <c r="B16" s="58">
        <v>0</v>
      </c>
      <c r="C16" s="57"/>
      <c r="D16" s="67" t="s">
        <v>365</v>
      </c>
      <c r="E16" s="58">
        <v>0</v>
      </c>
      <c r="F16" s="305"/>
      <c r="DR16" s="3" t="s">
        <v>21</v>
      </c>
    </row>
    <row r="17" spans="1:122" ht="15" customHeight="1">
      <c r="A17" s="64" t="s">
        <v>125</v>
      </c>
      <c r="B17" s="54">
        <v>0</v>
      </c>
      <c r="C17" s="55"/>
      <c r="D17" s="64" t="s">
        <v>366</v>
      </c>
      <c r="E17" s="54">
        <v>0</v>
      </c>
      <c r="F17" s="308">
        <f>IF(B3&gt;=1,(F4*10%+B3),0)</f>
        <v>0</v>
      </c>
      <c r="DR17" s="3" t="s">
        <v>5</v>
      </c>
    </row>
    <row r="18" spans="1:122" ht="15" customHeight="1">
      <c r="A18" s="67" t="s">
        <v>175</v>
      </c>
      <c r="B18" s="58">
        <v>0</v>
      </c>
      <c r="C18" s="57"/>
      <c r="D18" s="67" t="s">
        <v>367</v>
      </c>
      <c r="E18" s="58">
        <v>0</v>
      </c>
      <c r="F18" s="308"/>
      <c r="DR18" s="3" t="s">
        <v>22</v>
      </c>
    </row>
    <row r="19" spans="1:122" ht="15" customHeight="1">
      <c r="A19" s="64" t="s">
        <v>351</v>
      </c>
      <c r="B19" s="54">
        <v>0</v>
      </c>
      <c r="C19" s="272"/>
      <c r="D19" s="64" t="s">
        <v>368</v>
      </c>
      <c r="E19" s="54">
        <v>0</v>
      </c>
      <c r="F19" s="268"/>
      <c r="DR19" s="3"/>
    </row>
    <row r="20" spans="1:122" ht="15" customHeight="1">
      <c r="A20" s="307" t="str">
        <f>'Tax Old Regime'!B63</f>
        <v>Income Tax Payable</v>
      </c>
      <c r="B20" s="307"/>
      <c r="C20" s="47"/>
      <c r="D20" s="48">
        <f>'Tax Old Regime'!Q63</f>
        <v>1462</v>
      </c>
      <c r="E20" s="59" t="s">
        <v>139</v>
      </c>
      <c r="F20" s="49">
        <f>'GA-55'!I31</f>
        <v>51228</v>
      </c>
      <c r="DR20" s="3" t="s">
        <v>7</v>
      </c>
    </row>
    <row r="21" spans="1:122" ht="15" customHeight="1">
      <c r="A21" s="306" t="str">
        <f>"Total Rebate of (US 80C, 80CCC,80CCD(1)) =  "&amp;'Tax Old Regime'!Q31</f>
        <v>Total Rebate of (US 80C, 80CCC,80CCD(1)) =  88907</v>
      </c>
      <c r="B21" s="306"/>
      <c r="C21" s="2"/>
      <c r="D21" s="35" t="str">
        <f>"Investable Amount = "&amp;(150000-'Tax Old Regime'!Q31)</f>
        <v>Investable Amount = 61093</v>
      </c>
      <c r="E21" s="2"/>
      <c r="F21" s="2"/>
      <c r="DR21" s="3" t="s">
        <v>19</v>
      </c>
    </row>
    <row r="22" spans="1:122" ht="48" customHeight="1">
      <c r="A22" s="300" t="s">
        <v>165</v>
      </c>
      <c r="B22" s="301"/>
      <c r="C22" s="301"/>
      <c r="D22" s="301"/>
      <c r="E22" s="301"/>
      <c r="F22" s="301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workbookViewId="0">
      <selection activeCell="C11" sqref="C11:O11"/>
    </sheetView>
  </sheetViews>
  <sheetFormatPr defaultColWidth="0" defaultRowHeight="15.75" zeroHeight="1"/>
  <cols>
    <col min="1" max="1" width="3" customWidth="1" collapsed="1"/>
    <col min="2" max="2" width="3.5703125" style="11" customWidth="1" collapsed="1"/>
    <col min="3" max="3" width="4.5703125" style="10" customWidth="1" collapsed="1"/>
    <col min="4" max="5" width="9.140625" style="10" customWidth="1" collapsed="1"/>
    <col min="6" max="6" width="3.85546875" style="10" customWidth="1" collapsed="1"/>
    <col min="7" max="7" width="4.140625" style="10" customWidth="1" collapsed="1"/>
    <col min="8" max="8" width="2.7109375" style="10" customWidth="1" collapsed="1"/>
    <col min="9" max="9" width="10.5703125" style="10" customWidth="1" collapsed="1"/>
    <col min="10" max="10" width="5.140625" style="10" customWidth="1" collapsed="1"/>
    <col min="11" max="11" width="10.28515625" style="10" customWidth="1" collapsed="1"/>
    <col min="12" max="12" width="11.42578125" style="10" customWidth="1" collapsed="1"/>
    <col min="13" max="13" width="9.42578125" style="10" customWidth="1" collapsed="1"/>
    <col min="14" max="14" width="3.5703125" style="10" customWidth="1" collapsed="1"/>
    <col min="15" max="15" width="11.42578125" style="10" customWidth="1" collapsed="1"/>
    <col min="16" max="16" width="3.140625" style="12" customWidth="1" collapsed="1"/>
    <col min="17" max="17" width="14.85546875" style="13" customWidth="1" collapsed="1"/>
    <col min="18" max="18" width="2.42578125" customWidth="1" collapsed="1"/>
    <col min="19" max="16384" width="9.140625" hidden="1" collapsed="1"/>
  </cols>
  <sheetData>
    <row r="1" spans="2:17" s="16" customFormat="1" ht="18.75">
      <c r="B1" s="376" t="str">
        <f>'GA-55'!C4</f>
        <v>GOVT SR. SEC SCHOOL DILOD HATHI, ATRU BARAN</v>
      </c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</row>
    <row r="2" spans="2:17" s="16" customFormat="1" ht="21" thickBot="1">
      <c r="B2" s="377" t="s">
        <v>184</v>
      </c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</row>
    <row r="3" spans="2:17" s="16" customFormat="1" ht="15" customHeight="1">
      <c r="B3" s="78">
        <v>1</v>
      </c>
      <c r="C3" s="378" t="s">
        <v>10</v>
      </c>
      <c r="D3" s="379"/>
      <c r="E3" s="385" t="str">
        <f>'GA-55'!D6</f>
        <v>PARMANAND MEGHWAL</v>
      </c>
      <c r="F3" s="385"/>
      <c r="G3" s="385"/>
      <c r="H3" s="385"/>
      <c r="I3" s="385"/>
      <c r="J3" s="385"/>
      <c r="K3" s="79" t="s">
        <v>28</v>
      </c>
      <c r="L3" s="386" t="str">
        <f>'GA-55'!K6</f>
        <v>SR TEACHER</v>
      </c>
      <c r="M3" s="386"/>
      <c r="N3" s="386"/>
      <c r="O3" s="80" t="s">
        <v>27</v>
      </c>
      <c r="P3" s="380" t="str">
        <f>IF('GA-55'!P6="","",'GA-55'!P6)</f>
        <v>ASQPM6311G</v>
      </c>
      <c r="Q3" s="381"/>
    </row>
    <row r="4" spans="2:17" s="16" customFormat="1" ht="15" customHeight="1">
      <c r="B4" s="81">
        <v>2</v>
      </c>
      <c r="C4" s="382" t="s">
        <v>189</v>
      </c>
      <c r="D4" s="382"/>
      <c r="E4" s="318"/>
      <c r="F4" s="318"/>
      <c r="G4" s="318"/>
      <c r="H4" s="318"/>
      <c r="I4" s="318"/>
      <c r="J4" s="318"/>
      <c r="K4" s="382"/>
      <c r="L4" s="318"/>
      <c r="M4" s="318"/>
      <c r="N4" s="318"/>
      <c r="O4" s="382"/>
      <c r="P4" s="82" t="s">
        <v>11</v>
      </c>
      <c r="Q4" s="83">
        <f>'GA-55'!N31</f>
        <v>871899</v>
      </c>
    </row>
    <row r="5" spans="2:17" s="16" customFormat="1" ht="15" customHeight="1">
      <c r="B5" s="81">
        <v>3</v>
      </c>
      <c r="C5" s="318" t="s">
        <v>347</v>
      </c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8"/>
      <c r="O5" s="318"/>
      <c r="P5" s="82" t="s">
        <v>11</v>
      </c>
      <c r="Q5" s="84">
        <f>'Other Deduction'!B3</f>
        <v>0</v>
      </c>
    </row>
    <row r="6" spans="2:17" s="16" customFormat="1" ht="15" customHeight="1">
      <c r="B6" s="81"/>
      <c r="C6" s="343" t="s">
        <v>346</v>
      </c>
      <c r="D6" s="344"/>
      <c r="E6" s="344"/>
      <c r="F6" s="344"/>
      <c r="G6" s="344"/>
      <c r="H6" s="344"/>
      <c r="I6" s="344"/>
      <c r="J6" s="344"/>
      <c r="K6" s="344"/>
      <c r="L6" s="344"/>
      <c r="M6" s="344"/>
      <c r="N6" s="344"/>
      <c r="O6" s="345"/>
      <c r="P6" s="267" t="s">
        <v>11</v>
      </c>
      <c r="Q6" s="271">
        <f>'Other Deduction'!B19</f>
        <v>0</v>
      </c>
    </row>
    <row r="7" spans="2:17" s="16" customFormat="1" ht="15" customHeight="1">
      <c r="B7" s="81">
        <v>4</v>
      </c>
      <c r="C7" s="357" t="s">
        <v>29</v>
      </c>
      <c r="D7" s="357"/>
      <c r="E7" s="357"/>
      <c r="F7" s="357"/>
      <c r="G7" s="357"/>
      <c r="H7" s="357"/>
      <c r="I7" s="357"/>
      <c r="J7" s="357"/>
      <c r="K7" s="357"/>
      <c r="L7" s="357"/>
      <c r="M7" s="357"/>
      <c r="N7" s="357"/>
      <c r="O7" s="357"/>
      <c r="P7" s="82" t="s">
        <v>11</v>
      </c>
      <c r="Q7" s="84">
        <f>Q4-Q5-Q6</f>
        <v>871899</v>
      </c>
    </row>
    <row r="8" spans="2:17" s="16" customFormat="1" ht="15" customHeight="1">
      <c r="B8" s="315">
        <v>5</v>
      </c>
      <c r="C8" s="343" t="s">
        <v>182</v>
      </c>
      <c r="D8" s="344"/>
      <c r="E8" s="344"/>
      <c r="F8" s="344"/>
      <c r="G8" s="344"/>
      <c r="H8" s="344"/>
      <c r="I8" s="344"/>
      <c r="J8" s="344"/>
      <c r="K8" s="344"/>
      <c r="L8" s="344"/>
      <c r="M8" s="384">
        <f>'Other Deduction'!B4</f>
        <v>0</v>
      </c>
      <c r="N8" s="384"/>
      <c r="O8" s="384"/>
      <c r="P8" s="364"/>
      <c r="Q8" s="365"/>
    </row>
    <row r="9" spans="2:17" s="16" customFormat="1" ht="15" customHeight="1">
      <c r="B9" s="316"/>
      <c r="C9" s="343" t="s">
        <v>72</v>
      </c>
      <c r="D9" s="344"/>
      <c r="E9" s="344"/>
      <c r="F9" s="344"/>
      <c r="G9" s="344"/>
      <c r="H9" s="344"/>
      <c r="I9" s="344"/>
      <c r="J9" s="344"/>
      <c r="K9" s="344"/>
      <c r="L9" s="344"/>
      <c r="M9" s="384">
        <f>'Other Deduction'!B5</f>
        <v>0</v>
      </c>
      <c r="N9" s="384"/>
      <c r="O9" s="384"/>
      <c r="P9" s="368"/>
      <c r="Q9" s="369"/>
    </row>
    <row r="10" spans="2:17" s="16" customFormat="1" ht="15" customHeight="1">
      <c r="B10" s="317"/>
      <c r="C10" s="343" t="s">
        <v>161</v>
      </c>
      <c r="D10" s="344"/>
      <c r="E10" s="344"/>
      <c r="F10" s="344"/>
      <c r="G10" s="344"/>
      <c r="H10" s="344"/>
      <c r="I10" s="344"/>
      <c r="J10" s="344"/>
      <c r="K10" s="344"/>
      <c r="L10" s="344"/>
      <c r="M10" s="384">
        <f>IF(Q7&lt;50000,Q7,50000)</f>
        <v>50000</v>
      </c>
      <c r="N10" s="384"/>
      <c r="O10" s="384"/>
      <c r="P10" s="82" t="s">
        <v>11</v>
      </c>
      <c r="Q10" s="84">
        <f>SUM(M8:O10)</f>
        <v>50000</v>
      </c>
    </row>
    <row r="11" spans="2:17" s="16" customFormat="1" ht="15" customHeight="1">
      <c r="B11" s="81">
        <v>6</v>
      </c>
      <c r="C11" s="383" t="s">
        <v>12</v>
      </c>
      <c r="D11" s="383"/>
      <c r="E11" s="383"/>
      <c r="F11" s="383"/>
      <c r="G11" s="383"/>
      <c r="H11" s="383"/>
      <c r="I11" s="383"/>
      <c r="J11" s="383"/>
      <c r="K11" s="383"/>
      <c r="L11" s="383"/>
      <c r="M11" s="383"/>
      <c r="N11" s="383"/>
      <c r="O11" s="383"/>
      <c r="P11" s="82" t="s">
        <v>11</v>
      </c>
      <c r="Q11" s="84">
        <f>Q7-Q10</f>
        <v>821899</v>
      </c>
    </row>
    <row r="12" spans="2:17" s="16" customFormat="1" ht="15" customHeight="1">
      <c r="B12" s="387">
        <v>7</v>
      </c>
      <c r="C12" s="318" t="s">
        <v>30</v>
      </c>
      <c r="D12" s="318"/>
      <c r="E12" s="318"/>
      <c r="F12" s="318"/>
      <c r="G12" s="318"/>
      <c r="H12" s="318"/>
      <c r="I12" s="318"/>
      <c r="J12" s="318"/>
      <c r="K12" s="383" t="s">
        <v>31</v>
      </c>
      <c r="L12" s="383"/>
      <c r="M12" s="384">
        <f>'Other Deduction'!B6</f>
        <v>0</v>
      </c>
      <c r="N12" s="384"/>
      <c r="O12" s="384"/>
      <c r="P12" s="399"/>
      <c r="Q12" s="400"/>
    </row>
    <row r="13" spans="2:17" s="16" customFormat="1" ht="15" customHeight="1">
      <c r="B13" s="387"/>
      <c r="C13" s="394" t="s">
        <v>32</v>
      </c>
      <c r="D13" s="395"/>
      <c r="E13" s="391" t="s">
        <v>85</v>
      </c>
      <c r="F13" s="392"/>
      <c r="G13" s="393"/>
      <c r="H13" s="401" t="s">
        <v>13</v>
      </c>
      <c r="I13" s="401"/>
      <c r="J13" s="401"/>
      <c r="K13" s="383" t="s">
        <v>33</v>
      </c>
      <c r="L13" s="383"/>
      <c r="M13" s="383" t="s">
        <v>63</v>
      </c>
      <c r="N13" s="383"/>
      <c r="O13" s="383"/>
      <c r="P13" s="399"/>
      <c r="Q13" s="400"/>
    </row>
    <row r="14" spans="2:17" s="16" customFormat="1" ht="15" customHeight="1">
      <c r="B14" s="387"/>
      <c r="C14" s="396"/>
      <c r="D14" s="397"/>
      <c r="E14" s="388">
        <f>ROUND(M12*0.3,0)</f>
        <v>0</v>
      </c>
      <c r="F14" s="389"/>
      <c r="G14" s="390"/>
      <c r="H14" s="384">
        <f>IF(('GA-55'!W31+'Other Deduction'!B9)&gt;200000,200000,('GA-55'!W31+'Other Deduction'!B9))</f>
        <v>0</v>
      </c>
      <c r="I14" s="384"/>
      <c r="J14" s="384"/>
      <c r="K14" s="384">
        <f>'Other Deduction'!B7</f>
        <v>0</v>
      </c>
      <c r="L14" s="384"/>
      <c r="M14" s="384">
        <f>E14+H14+K14</f>
        <v>0</v>
      </c>
      <c r="N14" s="384"/>
      <c r="O14" s="384"/>
      <c r="P14" s="399"/>
      <c r="Q14" s="400"/>
    </row>
    <row r="15" spans="2:17" s="16" customFormat="1" ht="15" customHeight="1">
      <c r="B15" s="81"/>
      <c r="C15" s="383" t="s">
        <v>34</v>
      </c>
      <c r="D15" s="383"/>
      <c r="E15" s="383"/>
      <c r="F15" s="383"/>
      <c r="G15" s="383"/>
      <c r="H15" s="383"/>
      <c r="I15" s="383"/>
      <c r="J15" s="383"/>
      <c r="K15" s="383"/>
      <c r="L15" s="383"/>
      <c r="M15" s="383"/>
      <c r="N15" s="383"/>
      <c r="O15" s="383"/>
      <c r="P15" s="82" t="s">
        <v>11</v>
      </c>
      <c r="Q15" s="84">
        <f>M12-M14</f>
        <v>0</v>
      </c>
    </row>
    <row r="16" spans="2:17" s="16" customFormat="1" ht="15" customHeight="1">
      <c r="B16" s="81">
        <v>8</v>
      </c>
      <c r="C16" s="383" t="s">
        <v>64</v>
      </c>
      <c r="D16" s="383"/>
      <c r="E16" s="383"/>
      <c r="F16" s="383"/>
      <c r="G16" s="383"/>
      <c r="H16" s="383"/>
      <c r="I16" s="383"/>
      <c r="J16" s="383"/>
      <c r="K16" s="383"/>
      <c r="L16" s="383"/>
      <c r="M16" s="383"/>
      <c r="N16" s="383"/>
      <c r="O16" s="383"/>
      <c r="P16" s="82" t="s">
        <v>11</v>
      </c>
      <c r="Q16" s="84">
        <f>Q11+Q15</f>
        <v>821899</v>
      </c>
    </row>
    <row r="17" spans="2:17" s="16" customFormat="1" ht="15" customHeight="1">
      <c r="B17" s="81">
        <v>9</v>
      </c>
      <c r="C17" s="318" t="s">
        <v>26</v>
      </c>
      <c r="D17" s="318"/>
      <c r="E17" s="318"/>
      <c r="F17" s="318"/>
      <c r="G17" s="318"/>
      <c r="H17" s="318"/>
      <c r="I17" s="318"/>
      <c r="J17" s="318"/>
      <c r="K17" s="318"/>
      <c r="L17" s="318"/>
      <c r="M17" s="318"/>
      <c r="N17" s="318"/>
      <c r="O17" s="318"/>
      <c r="P17" s="82" t="s">
        <v>11</v>
      </c>
      <c r="Q17" s="84">
        <f>'Other Deduction'!E3+'Other Deduction'!E4</f>
        <v>0</v>
      </c>
    </row>
    <row r="18" spans="2:17" s="16" customFormat="1" ht="15" customHeight="1">
      <c r="B18" s="81">
        <v>10</v>
      </c>
      <c r="C18" s="318" t="s">
        <v>35</v>
      </c>
      <c r="D18" s="318"/>
      <c r="E18" s="318"/>
      <c r="F18" s="318"/>
      <c r="G18" s="318"/>
      <c r="H18" s="318"/>
      <c r="I18" s="318"/>
      <c r="J18" s="318"/>
      <c r="K18" s="318"/>
      <c r="L18" s="318"/>
      <c r="M18" s="318"/>
      <c r="N18" s="318"/>
      <c r="O18" s="318"/>
      <c r="P18" s="82" t="s">
        <v>11</v>
      </c>
      <c r="Q18" s="83">
        <f>Q16+Q17</f>
        <v>821899</v>
      </c>
    </row>
    <row r="19" spans="2:17" s="16" customFormat="1" ht="15" customHeight="1">
      <c r="B19" s="315">
        <v>11</v>
      </c>
      <c r="C19" s="346" t="s">
        <v>114</v>
      </c>
      <c r="D19" s="346"/>
      <c r="E19" s="346"/>
      <c r="F19" s="346"/>
      <c r="G19" s="346"/>
      <c r="H19" s="346"/>
      <c r="I19" s="346"/>
      <c r="J19" s="346"/>
      <c r="K19" s="346"/>
      <c r="L19" s="346"/>
      <c r="M19" s="346"/>
      <c r="N19" s="346"/>
      <c r="O19" s="346"/>
      <c r="P19" s="346"/>
      <c r="Q19" s="353"/>
    </row>
    <row r="20" spans="2:17" s="16" customFormat="1" ht="15" customHeight="1">
      <c r="B20" s="316"/>
      <c r="C20" s="358" t="s">
        <v>193</v>
      </c>
      <c r="D20" s="358"/>
      <c r="E20" s="358"/>
      <c r="F20" s="358"/>
      <c r="G20" s="358"/>
      <c r="H20" s="358"/>
      <c r="I20" s="358"/>
      <c r="J20" s="358"/>
      <c r="K20" s="358"/>
      <c r="L20" s="358"/>
      <c r="M20" s="358"/>
      <c r="N20" s="358"/>
      <c r="O20" s="358"/>
      <c r="P20" s="358"/>
      <c r="Q20" s="359"/>
    </row>
    <row r="21" spans="2:17" s="16" customFormat="1" ht="17.25" customHeight="1">
      <c r="B21" s="316"/>
      <c r="C21" s="85" t="s">
        <v>36</v>
      </c>
      <c r="D21" s="318" t="s">
        <v>73</v>
      </c>
      <c r="E21" s="318"/>
      <c r="F21" s="318"/>
      <c r="G21" s="318"/>
      <c r="H21" s="82" t="s">
        <v>11</v>
      </c>
      <c r="I21" s="86">
        <f>'GA-55'!Q31</f>
        <v>36000</v>
      </c>
      <c r="J21" s="85" t="s">
        <v>37</v>
      </c>
      <c r="K21" s="87" t="s">
        <v>40</v>
      </c>
      <c r="L21" s="87"/>
      <c r="M21" s="87"/>
      <c r="N21" s="82" t="s">
        <v>11</v>
      </c>
      <c r="O21" s="86">
        <f>'Other Deduction'!E6</f>
        <v>0</v>
      </c>
      <c r="P21" s="364"/>
      <c r="Q21" s="365"/>
    </row>
    <row r="22" spans="2:17" s="16" customFormat="1" ht="17.25" customHeight="1">
      <c r="B22" s="316"/>
      <c r="C22" s="85" t="s">
        <v>38</v>
      </c>
      <c r="D22" s="318" t="s">
        <v>74</v>
      </c>
      <c r="E22" s="318"/>
      <c r="F22" s="318"/>
      <c r="G22" s="318"/>
      <c r="H22" s="82" t="s">
        <v>11</v>
      </c>
      <c r="I22" s="86">
        <f>'GA-55'!T31+'Other Deduction'!B10</f>
        <v>7080</v>
      </c>
      <c r="J22" s="85" t="s">
        <v>39</v>
      </c>
      <c r="K22" s="87" t="s">
        <v>16</v>
      </c>
      <c r="L22" s="87"/>
      <c r="M22" s="87"/>
      <c r="N22" s="82" t="s">
        <v>11</v>
      </c>
      <c r="O22" s="88">
        <f>'Other Deduction'!B15</f>
        <v>0</v>
      </c>
      <c r="P22" s="366"/>
      <c r="Q22" s="367"/>
    </row>
    <row r="23" spans="2:17" s="16" customFormat="1" ht="17.25" customHeight="1">
      <c r="B23" s="316"/>
      <c r="C23" s="85" t="s">
        <v>41</v>
      </c>
      <c r="D23" s="318" t="s">
        <v>75</v>
      </c>
      <c r="E23" s="318"/>
      <c r="F23" s="318"/>
      <c r="G23" s="318"/>
      <c r="H23" s="82" t="s">
        <v>11</v>
      </c>
      <c r="I23" s="86">
        <f>'Other Deduction'!B14</f>
        <v>0</v>
      </c>
      <c r="J23" s="85" t="s">
        <v>42</v>
      </c>
      <c r="K23" s="370" t="s">
        <v>103</v>
      </c>
      <c r="L23" s="371"/>
      <c r="M23" s="372"/>
      <c r="N23" s="82" t="s">
        <v>11</v>
      </c>
      <c r="O23" s="88">
        <f>'Other Deduction'!B12</f>
        <v>0</v>
      </c>
      <c r="P23" s="366"/>
      <c r="Q23" s="367"/>
    </row>
    <row r="24" spans="2:17" s="16" customFormat="1" ht="17.25" customHeight="1">
      <c r="B24" s="316"/>
      <c r="C24" s="85" t="s">
        <v>43</v>
      </c>
      <c r="D24" s="318" t="s">
        <v>76</v>
      </c>
      <c r="E24" s="318"/>
      <c r="F24" s="318"/>
      <c r="G24" s="318"/>
      <c r="H24" s="82" t="s">
        <v>11</v>
      </c>
      <c r="I24" s="86">
        <f>'Other Deduction'!B16</f>
        <v>0</v>
      </c>
      <c r="J24" s="85" t="s">
        <v>44</v>
      </c>
      <c r="K24" s="370" t="s">
        <v>106</v>
      </c>
      <c r="L24" s="371"/>
      <c r="M24" s="372"/>
      <c r="N24" s="82" t="s">
        <v>11</v>
      </c>
      <c r="O24" s="86">
        <f>'Other Deduction'!E15</f>
        <v>0</v>
      </c>
      <c r="P24" s="366"/>
      <c r="Q24" s="367"/>
    </row>
    <row r="25" spans="2:17" s="16" customFormat="1" ht="17.25" customHeight="1">
      <c r="B25" s="316"/>
      <c r="C25" s="85" t="s">
        <v>45</v>
      </c>
      <c r="D25" s="318" t="s">
        <v>77</v>
      </c>
      <c r="E25" s="318"/>
      <c r="F25" s="318"/>
      <c r="G25" s="318"/>
      <c r="H25" s="82" t="s">
        <v>11</v>
      </c>
      <c r="I25" s="86">
        <f>'Other Deduction'!B17</f>
        <v>0</v>
      </c>
      <c r="J25" s="85" t="s">
        <v>48</v>
      </c>
      <c r="K25" s="87" t="s">
        <v>105</v>
      </c>
      <c r="L25" s="87"/>
      <c r="M25" s="87"/>
      <c r="N25" s="82" t="s">
        <v>11</v>
      </c>
      <c r="O25" s="86">
        <f>'Other Deduction'!E16</f>
        <v>0</v>
      </c>
      <c r="P25" s="366"/>
      <c r="Q25" s="367"/>
    </row>
    <row r="26" spans="2:17" s="16" customFormat="1" ht="30" customHeight="1">
      <c r="B26" s="316"/>
      <c r="C26" s="85" t="s">
        <v>47</v>
      </c>
      <c r="D26" s="373" t="s">
        <v>192</v>
      </c>
      <c r="E26" s="374"/>
      <c r="F26" s="374"/>
      <c r="G26" s="375"/>
      <c r="H26" s="82" t="s">
        <v>11</v>
      </c>
      <c r="I26" s="86">
        <f>'GA-55'!O31</f>
        <v>45827</v>
      </c>
      <c r="J26" s="85" t="s">
        <v>46</v>
      </c>
      <c r="K26" s="370" t="s">
        <v>104</v>
      </c>
      <c r="L26" s="371"/>
      <c r="M26" s="372"/>
      <c r="N26" s="82" t="s">
        <v>11</v>
      </c>
      <c r="O26" s="86">
        <f>'Other Deduction'!B11</f>
        <v>0</v>
      </c>
      <c r="P26" s="366"/>
      <c r="Q26" s="367"/>
    </row>
    <row r="27" spans="2:17" s="16" customFormat="1" ht="17.25" customHeight="1">
      <c r="B27" s="316"/>
      <c r="C27" s="85" t="s">
        <v>49</v>
      </c>
      <c r="D27" s="343" t="s">
        <v>110</v>
      </c>
      <c r="E27" s="344"/>
      <c r="F27" s="344"/>
      <c r="G27" s="345"/>
      <c r="H27" s="82" t="s">
        <v>11</v>
      </c>
      <c r="I27" s="88">
        <f>'GA-55'!U11</f>
        <v>0</v>
      </c>
      <c r="J27" s="85" t="s">
        <v>50</v>
      </c>
      <c r="K27" s="89" t="s">
        <v>136</v>
      </c>
      <c r="L27" s="89"/>
      <c r="M27" s="89"/>
      <c r="N27" s="82" t="s">
        <v>11</v>
      </c>
      <c r="O27" s="86">
        <f>'Other Deduction'!E5</f>
        <v>0</v>
      </c>
      <c r="P27" s="366"/>
      <c r="Q27" s="367"/>
    </row>
    <row r="28" spans="2:17" s="16" customFormat="1" ht="17.25" customHeight="1">
      <c r="B28" s="316"/>
      <c r="C28" s="85" t="s">
        <v>51</v>
      </c>
      <c r="D28" s="318" t="s">
        <v>9</v>
      </c>
      <c r="E28" s="318"/>
      <c r="F28" s="318"/>
      <c r="G28" s="318"/>
      <c r="H28" s="82" t="s">
        <v>11</v>
      </c>
      <c r="I28" s="88">
        <f>'Other Deduction'!B13</f>
        <v>0</v>
      </c>
      <c r="J28" s="85" t="s">
        <v>52</v>
      </c>
      <c r="K28" s="370" t="s">
        <v>141</v>
      </c>
      <c r="L28" s="371"/>
      <c r="M28" s="372"/>
      <c r="N28" s="82" t="s">
        <v>11</v>
      </c>
      <c r="O28" s="86">
        <f>'Other Deduction'!B18</f>
        <v>0</v>
      </c>
      <c r="P28" s="366"/>
      <c r="Q28" s="367"/>
    </row>
    <row r="29" spans="2:17" s="16" customFormat="1" ht="17.25" customHeight="1">
      <c r="B29" s="316"/>
      <c r="C29" s="85" t="s">
        <v>53</v>
      </c>
      <c r="D29" s="318" t="s">
        <v>86</v>
      </c>
      <c r="E29" s="318"/>
      <c r="F29" s="318"/>
      <c r="G29" s="318"/>
      <c r="H29" s="82" t="s">
        <v>11</v>
      </c>
      <c r="I29" s="86">
        <f>'GA-55'!V31+'Other Deduction'!B8</f>
        <v>0</v>
      </c>
      <c r="J29" s="85" t="s">
        <v>140</v>
      </c>
      <c r="K29" s="363"/>
      <c r="L29" s="363"/>
      <c r="M29" s="363"/>
      <c r="N29" s="82" t="s">
        <v>11</v>
      </c>
      <c r="O29" s="86"/>
      <c r="P29" s="366"/>
      <c r="Q29" s="367"/>
    </row>
    <row r="30" spans="2:17" s="16" customFormat="1" ht="15" customHeight="1">
      <c r="B30" s="316"/>
      <c r="C30" s="360" t="s">
        <v>142</v>
      </c>
      <c r="D30" s="361"/>
      <c r="E30" s="361"/>
      <c r="F30" s="361"/>
      <c r="G30" s="361"/>
      <c r="H30" s="361"/>
      <c r="I30" s="361"/>
      <c r="J30" s="361"/>
      <c r="K30" s="361"/>
      <c r="L30" s="361"/>
      <c r="M30" s="362"/>
      <c r="N30" s="82" t="s">
        <v>11</v>
      </c>
      <c r="O30" s="90">
        <f>SUM(I21:I29)+SUM(O21:O29)</f>
        <v>88907</v>
      </c>
      <c r="P30" s="368"/>
      <c r="Q30" s="369"/>
    </row>
    <row r="31" spans="2:17" s="16" customFormat="1" ht="15" customHeight="1">
      <c r="B31" s="316"/>
      <c r="C31" s="357" t="s">
        <v>101</v>
      </c>
      <c r="D31" s="357"/>
      <c r="E31" s="357"/>
      <c r="F31" s="357"/>
      <c r="G31" s="357"/>
      <c r="H31" s="357"/>
      <c r="I31" s="357"/>
      <c r="J31" s="357"/>
      <c r="K31" s="357"/>
      <c r="L31" s="357"/>
      <c r="M31" s="357"/>
      <c r="N31" s="357"/>
      <c r="O31" s="357"/>
      <c r="P31" s="82" t="s">
        <v>11</v>
      </c>
      <c r="Q31" s="83">
        <f>IF(O30&lt;150001,ROUND(O30,0),150000)</f>
        <v>88907</v>
      </c>
    </row>
    <row r="32" spans="2:17" s="16" customFormat="1" ht="15" customHeight="1">
      <c r="B32" s="316"/>
      <c r="C32" s="343" t="s">
        <v>334</v>
      </c>
      <c r="D32" s="344"/>
      <c r="E32" s="344"/>
      <c r="F32" s="344"/>
      <c r="G32" s="344"/>
      <c r="H32" s="344"/>
      <c r="I32" s="344"/>
      <c r="J32" s="344"/>
      <c r="K32" s="344"/>
      <c r="L32" s="344"/>
      <c r="M32" s="344"/>
      <c r="N32" s="344"/>
      <c r="O32" s="345"/>
      <c r="P32" s="82" t="s">
        <v>11</v>
      </c>
      <c r="Q32" s="83">
        <f>'Other Deduction'!E7</f>
        <v>0</v>
      </c>
    </row>
    <row r="33" spans="2:17" s="16" customFormat="1" ht="15" customHeight="1">
      <c r="B33" s="317"/>
      <c r="C33" s="357" t="s">
        <v>109</v>
      </c>
      <c r="D33" s="357"/>
      <c r="E33" s="357"/>
      <c r="F33" s="357"/>
      <c r="G33" s="357"/>
      <c r="H33" s="357"/>
      <c r="I33" s="357"/>
      <c r="J33" s="357"/>
      <c r="K33" s="357"/>
      <c r="L33" s="357"/>
      <c r="M33" s="357"/>
      <c r="N33" s="357"/>
      <c r="O33" s="357"/>
      <c r="P33" s="82" t="s">
        <v>11</v>
      </c>
      <c r="Q33" s="83">
        <f>SUM(Q31:Q32)</f>
        <v>88907</v>
      </c>
    </row>
    <row r="34" spans="2:17" s="16" customFormat="1" ht="15" customHeight="1">
      <c r="B34" s="315">
        <v>12</v>
      </c>
      <c r="C34" s="346" t="s">
        <v>115</v>
      </c>
      <c r="D34" s="346"/>
      <c r="E34" s="346"/>
      <c r="F34" s="346"/>
      <c r="G34" s="346"/>
      <c r="H34" s="346"/>
      <c r="I34" s="346"/>
      <c r="J34" s="346"/>
      <c r="K34" s="346"/>
      <c r="L34" s="346"/>
      <c r="M34" s="346"/>
      <c r="N34" s="346"/>
      <c r="O34" s="346"/>
      <c r="P34" s="346"/>
      <c r="Q34" s="353"/>
    </row>
    <row r="35" spans="2:17" s="16" customFormat="1" ht="15" customHeight="1">
      <c r="B35" s="316"/>
      <c r="C35" s="354" t="s">
        <v>349</v>
      </c>
      <c r="D35" s="355"/>
      <c r="E35" s="355"/>
      <c r="F35" s="355"/>
      <c r="G35" s="355"/>
      <c r="H35" s="355"/>
      <c r="I35" s="355"/>
      <c r="J35" s="355"/>
      <c r="K35" s="355"/>
      <c r="L35" s="355"/>
      <c r="M35" s="355"/>
      <c r="N35" s="355"/>
      <c r="O35" s="356"/>
      <c r="P35" s="82" t="s">
        <v>11</v>
      </c>
      <c r="Q35" s="84">
        <f>'Other Deduction'!E8</f>
        <v>0</v>
      </c>
    </row>
    <row r="36" spans="2:17" s="16" customFormat="1" ht="15" customHeight="1">
      <c r="B36" s="316"/>
      <c r="C36" s="318" t="s">
        <v>150</v>
      </c>
      <c r="D36" s="318"/>
      <c r="E36" s="318"/>
      <c r="F36" s="318"/>
      <c r="G36" s="318"/>
      <c r="H36" s="318"/>
      <c r="I36" s="318"/>
      <c r="J36" s="318"/>
      <c r="K36" s="318"/>
      <c r="L36" s="318"/>
      <c r="M36" s="318"/>
      <c r="N36" s="318"/>
      <c r="O36" s="318"/>
      <c r="P36" s="82" t="s">
        <v>11</v>
      </c>
      <c r="Q36" s="84">
        <f>'Other Deduction'!E9</f>
        <v>0</v>
      </c>
    </row>
    <row r="37" spans="2:17" s="16" customFormat="1" ht="15" customHeight="1">
      <c r="B37" s="316"/>
      <c r="C37" s="318" t="s">
        <v>164</v>
      </c>
      <c r="D37" s="318"/>
      <c r="E37" s="318"/>
      <c r="F37" s="318"/>
      <c r="G37" s="318"/>
      <c r="H37" s="318"/>
      <c r="I37" s="318"/>
      <c r="J37" s="318"/>
      <c r="K37" s="318"/>
      <c r="L37" s="318"/>
      <c r="M37" s="318"/>
      <c r="N37" s="318"/>
      <c r="O37" s="318"/>
      <c r="P37" s="82" t="s">
        <v>11</v>
      </c>
      <c r="Q37" s="84">
        <f>'Other Deduction'!E10</f>
        <v>0</v>
      </c>
    </row>
    <row r="38" spans="2:17" s="16" customFormat="1" ht="15" customHeight="1">
      <c r="B38" s="316"/>
      <c r="C38" s="318" t="s">
        <v>126</v>
      </c>
      <c r="D38" s="318"/>
      <c r="E38" s="318"/>
      <c r="F38" s="318"/>
      <c r="G38" s="318"/>
      <c r="H38" s="318"/>
      <c r="I38" s="318"/>
      <c r="J38" s="318"/>
      <c r="K38" s="318"/>
      <c r="L38" s="318"/>
      <c r="M38" s="318"/>
      <c r="N38" s="318"/>
      <c r="O38" s="318"/>
      <c r="P38" s="82" t="s">
        <v>11</v>
      </c>
      <c r="Q38" s="84">
        <f>'Other Deduction'!E11</f>
        <v>0</v>
      </c>
    </row>
    <row r="39" spans="2:17" s="16" customFormat="1" ht="15" customHeight="1">
      <c r="B39" s="316"/>
      <c r="C39" s="318" t="s">
        <v>127</v>
      </c>
      <c r="D39" s="318"/>
      <c r="E39" s="318"/>
      <c r="F39" s="318"/>
      <c r="G39" s="318"/>
      <c r="H39" s="318"/>
      <c r="I39" s="318"/>
      <c r="J39" s="318"/>
      <c r="K39" s="318"/>
      <c r="L39" s="318"/>
      <c r="M39" s="318"/>
      <c r="N39" s="318"/>
      <c r="O39" s="318"/>
      <c r="P39" s="82" t="s">
        <v>11</v>
      </c>
      <c r="Q39" s="84">
        <f>'Other Deduction'!E12</f>
        <v>0</v>
      </c>
    </row>
    <row r="40" spans="2:17" s="16" customFormat="1" ht="15" customHeight="1">
      <c r="B40" s="316"/>
      <c r="C40" s="354" t="s">
        <v>128</v>
      </c>
      <c r="D40" s="355"/>
      <c r="E40" s="355"/>
      <c r="F40" s="355"/>
      <c r="G40" s="355"/>
      <c r="H40" s="355"/>
      <c r="I40" s="355"/>
      <c r="J40" s="355"/>
      <c r="K40" s="355"/>
      <c r="L40" s="355"/>
      <c r="M40" s="355"/>
      <c r="N40" s="355"/>
      <c r="O40" s="356"/>
      <c r="P40" s="82" t="s">
        <v>11</v>
      </c>
      <c r="Q40" s="84">
        <f>'Other Deduction'!E13</f>
        <v>0</v>
      </c>
    </row>
    <row r="41" spans="2:17" s="16" customFormat="1" ht="15" customHeight="1">
      <c r="B41" s="316"/>
      <c r="C41" s="343" t="s">
        <v>151</v>
      </c>
      <c r="D41" s="344"/>
      <c r="E41" s="344"/>
      <c r="F41" s="344"/>
      <c r="G41" s="344"/>
      <c r="H41" s="344"/>
      <c r="I41" s="344"/>
      <c r="J41" s="344"/>
      <c r="K41" s="344"/>
      <c r="L41" s="344"/>
      <c r="M41" s="344"/>
      <c r="N41" s="344"/>
      <c r="O41" s="345"/>
      <c r="P41" s="82" t="s">
        <v>11</v>
      </c>
      <c r="Q41" s="84">
        <f>IF('GA-55'!AB2&lt;&gt;"No",IF('Other Deduction'!E3&lt;50001,'Other Deduction'!E3,50000),IF('Other Deduction'!E3&lt;10001,'Other Deduction'!E3,10000))</f>
        <v>0</v>
      </c>
    </row>
    <row r="42" spans="2:17" s="16" customFormat="1" ht="15" customHeight="1">
      <c r="B42" s="316"/>
      <c r="C42" s="343" t="s">
        <v>107</v>
      </c>
      <c r="D42" s="344"/>
      <c r="E42" s="344"/>
      <c r="F42" s="344"/>
      <c r="G42" s="344"/>
      <c r="H42" s="344"/>
      <c r="I42" s="344"/>
      <c r="J42" s="344"/>
      <c r="K42" s="344"/>
      <c r="L42" s="344"/>
      <c r="M42" s="344"/>
      <c r="N42" s="344"/>
      <c r="O42" s="345"/>
      <c r="P42" s="82" t="s">
        <v>11</v>
      </c>
      <c r="Q42" s="84">
        <f>'Other Deduction'!E14</f>
        <v>0</v>
      </c>
    </row>
    <row r="43" spans="2:17" s="16" customFormat="1" ht="15" customHeight="1">
      <c r="B43" s="316"/>
      <c r="C43" s="343" t="s">
        <v>348</v>
      </c>
      <c r="D43" s="344"/>
      <c r="E43" s="344"/>
      <c r="F43" s="344"/>
      <c r="G43" s="344"/>
      <c r="H43" s="344"/>
      <c r="I43" s="344"/>
      <c r="J43" s="344"/>
      <c r="K43" s="344"/>
      <c r="L43" s="344"/>
      <c r="M43" s="344"/>
      <c r="N43" s="344"/>
      <c r="O43" s="345"/>
      <c r="P43" s="269" t="s">
        <v>11</v>
      </c>
      <c r="Q43" s="84">
        <f>'Other Deduction'!E19</f>
        <v>0</v>
      </c>
    </row>
    <row r="44" spans="2:17" s="16" customFormat="1" ht="15" customHeight="1">
      <c r="B44" s="317"/>
      <c r="C44" s="357" t="s">
        <v>350</v>
      </c>
      <c r="D44" s="357"/>
      <c r="E44" s="357"/>
      <c r="F44" s="357"/>
      <c r="G44" s="357"/>
      <c r="H44" s="357"/>
      <c r="I44" s="357"/>
      <c r="J44" s="357"/>
      <c r="K44" s="357"/>
      <c r="L44" s="357"/>
      <c r="M44" s="357"/>
      <c r="N44" s="357"/>
      <c r="O44" s="357"/>
      <c r="P44" s="82" t="s">
        <v>11</v>
      </c>
      <c r="Q44" s="91">
        <f>SUM(Q35:Q43)</f>
        <v>0</v>
      </c>
    </row>
    <row r="45" spans="2:17" s="16" customFormat="1" ht="15" customHeight="1">
      <c r="B45" s="81">
        <v>13</v>
      </c>
      <c r="C45" s="346" t="s">
        <v>112</v>
      </c>
      <c r="D45" s="346"/>
      <c r="E45" s="346"/>
      <c r="F45" s="346"/>
      <c r="G45" s="346"/>
      <c r="H45" s="346"/>
      <c r="I45" s="346"/>
      <c r="J45" s="346"/>
      <c r="K45" s="346"/>
      <c r="L45" s="346"/>
      <c r="M45" s="346"/>
      <c r="N45" s="346"/>
      <c r="O45" s="346"/>
      <c r="P45" s="82" t="s">
        <v>11</v>
      </c>
      <c r="Q45" s="84">
        <f>Q33+Q44</f>
        <v>88907</v>
      </c>
    </row>
    <row r="46" spans="2:17" s="16" customFormat="1" ht="15" customHeight="1">
      <c r="B46" s="81">
        <v>14</v>
      </c>
      <c r="C46" s="318" t="s">
        <v>65</v>
      </c>
      <c r="D46" s="318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82" t="s">
        <v>11</v>
      </c>
      <c r="Q46" s="84">
        <f>(Q18-Q45)</f>
        <v>732992</v>
      </c>
    </row>
    <row r="47" spans="2:17" s="16" customFormat="1">
      <c r="B47" s="81">
        <v>15</v>
      </c>
      <c r="C47" s="346" t="s">
        <v>144</v>
      </c>
      <c r="D47" s="346"/>
      <c r="E47" s="346"/>
      <c r="F47" s="346"/>
      <c r="G47" s="346"/>
      <c r="H47" s="346"/>
      <c r="I47" s="346"/>
      <c r="J47" s="346"/>
      <c r="K47" s="346"/>
      <c r="L47" s="346"/>
      <c r="M47" s="346"/>
      <c r="N47" s="346"/>
      <c r="O47" s="346"/>
      <c r="P47" s="82" t="s">
        <v>11</v>
      </c>
      <c r="Q47" s="83">
        <f>ROUND(Q46,-1)</f>
        <v>732990</v>
      </c>
    </row>
    <row r="48" spans="2:17" s="16" customFormat="1" ht="15" customHeight="1">
      <c r="B48" s="315">
        <v>16</v>
      </c>
      <c r="C48" s="318" t="s">
        <v>55</v>
      </c>
      <c r="D48" s="318"/>
      <c r="E48" s="318"/>
      <c r="F48" s="318"/>
      <c r="G48" s="318"/>
      <c r="H48" s="318"/>
      <c r="I48" s="318"/>
      <c r="J48" s="318"/>
      <c r="K48" s="318"/>
      <c r="L48" s="318"/>
      <c r="M48" s="318"/>
      <c r="N48" s="318"/>
      <c r="O48" s="318"/>
      <c r="P48" s="318"/>
      <c r="Q48" s="319"/>
    </row>
    <row r="49" spans="2:17" s="16" customFormat="1" ht="15" customHeight="1">
      <c r="B49" s="316"/>
      <c r="C49" s="320" t="s">
        <v>80</v>
      </c>
      <c r="D49" s="320"/>
      <c r="E49" s="320"/>
      <c r="F49" s="320"/>
      <c r="G49" s="320"/>
      <c r="H49" s="320" t="s">
        <v>96</v>
      </c>
      <c r="I49" s="320"/>
      <c r="J49" s="320"/>
      <c r="K49" s="320"/>
      <c r="L49" s="321" t="s">
        <v>111</v>
      </c>
      <c r="M49" s="322"/>
      <c r="N49" s="322"/>
      <c r="O49" s="323"/>
      <c r="P49" s="92"/>
      <c r="Q49" s="93"/>
    </row>
    <row r="50" spans="2:17" s="16" customFormat="1" ht="15" customHeight="1">
      <c r="B50" s="316"/>
      <c r="C50" s="324" t="s">
        <v>81</v>
      </c>
      <c r="D50" s="325"/>
      <c r="E50" s="326"/>
      <c r="F50" s="331" t="s">
        <v>56</v>
      </c>
      <c r="G50" s="331"/>
      <c r="H50" s="324" t="s">
        <v>97</v>
      </c>
      <c r="I50" s="325"/>
      <c r="J50" s="326"/>
      <c r="K50" s="94" t="s">
        <v>56</v>
      </c>
      <c r="L50" s="324"/>
      <c r="M50" s="325"/>
      <c r="N50" s="326"/>
      <c r="O50" s="94"/>
      <c r="P50" s="82" t="s">
        <v>11</v>
      </c>
      <c r="Q50" s="95">
        <v>0</v>
      </c>
    </row>
    <row r="51" spans="2:17" s="16" customFormat="1" ht="15" customHeight="1">
      <c r="B51" s="316"/>
      <c r="C51" s="324" t="s">
        <v>57</v>
      </c>
      <c r="D51" s="325"/>
      <c r="E51" s="326"/>
      <c r="F51" s="330">
        <v>0.05</v>
      </c>
      <c r="G51" s="331"/>
      <c r="H51" s="331" t="s">
        <v>98</v>
      </c>
      <c r="I51" s="331"/>
      <c r="J51" s="331"/>
      <c r="K51" s="96">
        <v>0.05</v>
      </c>
      <c r="L51" s="324" t="s">
        <v>82</v>
      </c>
      <c r="M51" s="325"/>
      <c r="N51" s="326"/>
      <c r="O51" s="94" t="s">
        <v>56</v>
      </c>
      <c r="P51" s="82" t="s">
        <v>11</v>
      </c>
      <c r="Q51" s="95">
        <f>ROUND(IF('GA-55'!AB2="No",IF(Q47&lt;250001,0,IF(Q47&gt;500000,12500,((Q47-250000)*0.05))),IF(Q47&lt;300001,0,IF(Q47&gt;500000,10000,((Q47-300000)*0.05)))),0)</f>
        <v>12500</v>
      </c>
    </row>
    <row r="52" spans="2:17" s="16" customFormat="1" ht="15" customHeight="1">
      <c r="B52" s="316"/>
      <c r="C52" s="324" t="s">
        <v>58</v>
      </c>
      <c r="D52" s="325"/>
      <c r="E52" s="326"/>
      <c r="F52" s="330">
        <v>0.2</v>
      </c>
      <c r="G52" s="331"/>
      <c r="H52" s="331" t="s">
        <v>58</v>
      </c>
      <c r="I52" s="331"/>
      <c r="J52" s="331"/>
      <c r="K52" s="96">
        <v>0.2</v>
      </c>
      <c r="L52" s="324" t="s">
        <v>58</v>
      </c>
      <c r="M52" s="325"/>
      <c r="N52" s="326"/>
      <c r="O52" s="96">
        <v>0.2</v>
      </c>
      <c r="P52" s="82" t="s">
        <v>11</v>
      </c>
      <c r="Q52" s="95">
        <f>IF(Q47&lt;500001,0,IF(Q47&gt;1000000,100000,((Q47-500000)*0.2)))</f>
        <v>46598</v>
      </c>
    </row>
    <row r="53" spans="2:17" s="16" customFormat="1" ht="15" customHeight="1">
      <c r="B53" s="316"/>
      <c r="C53" s="327" t="s">
        <v>78</v>
      </c>
      <c r="D53" s="328"/>
      <c r="E53" s="329"/>
      <c r="F53" s="330">
        <v>0.3</v>
      </c>
      <c r="G53" s="331"/>
      <c r="H53" s="331" t="s">
        <v>79</v>
      </c>
      <c r="I53" s="331"/>
      <c r="J53" s="331"/>
      <c r="K53" s="96">
        <v>0.3</v>
      </c>
      <c r="L53" s="324" t="s">
        <v>79</v>
      </c>
      <c r="M53" s="325"/>
      <c r="N53" s="326"/>
      <c r="O53" s="96">
        <v>0.3</v>
      </c>
      <c r="P53" s="82" t="s">
        <v>11</v>
      </c>
      <c r="Q53" s="95">
        <f>IF(Q47&lt;1000001,0,((Q47-1000000)*0.3))</f>
        <v>0</v>
      </c>
    </row>
    <row r="54" spans="2:17" s="16" customFormat="1" ht="15" customHeight="1">
      <c r="B54" s="316"/>
      <c r="C54" s="310" t="s">
        <v>66</v>
      </c>
      <c r="D54" s="311"/>
      <c r="E54" s="311"/>
      <c r="F54" s="311"/>
      <c r="G54" s="311"/>
      <c r="H54" s="311"/>
      <c r="I54" s="311"/>
      <c r="J54" s="311"/>
      <c r="K54" s="311"/>
      <c r="L54" s="311"/>
      <c r="M54" s="311"/>
      <c r="N54" s="311"/>
      <c r="O54" s="312"/>
      <c r="P54" s="82" t="s">
        <v>11</v>
      </c>
      <c r="Q54" s="83">
        <f>SUM(Q50:Q53)</f>
        <v>59098</v>
      </c>
    </row>
    <row r="55" spans="2:17" s="16" customFormat="1" ht="15" customHeight="1">
      <c r="B55" s="316"/>
      <c r="C55" s="332" t="s">
        <v>152</v>
      </c>
      <c r="D55" s="333"/>
      <c r="E55" s="333"/>
      <c r="F55" s="333"/>
      <c r="G55" s="333"/>
      <c r="H55" s="333"/>
      <c r="I55" s="333"/>
      <c r="J55" s="333"/>
      <c r="K55" s="333"/>
      <c r="L55" s="333"/>
      <c r="M55" s="333"/>
      <c r="N55" s="333"/>
      <c r="O55" s="334"/>
      <c r="P55" s="82" t="s">
        <v>11</v>
      </c>
      <c r="Q55" s="84">
        <f>IF(Q47&gt;500000,0,IF(Q54&lt;12501,Q54,12500))</f>
        <v>0</v>
      </c>
    </row>
    <row r="56" spans="2:17" s="16" customFormat="1" ht="15" customHeight="1">
      <c r="B56" s="316"/>
      <c r="C56" s="310" t="s">
        <v>99</v>
      </c>
      <c r="D56" s="311"/>
      <c r="E56" s="311"/>
      <c r="F56" s="311"/>
      <c r="G56" s="311"/>
      <c r="H56" s="311"/>
      <c r="I56" s="311"/>
      <c r="J56" s="311"/>
      <c r="K56" s="311"/>
      <c r="L56" s="311"/>
      <c r="M56" s="311"/>
      <c r="N56" s="311"/>
      <c r="O56" s="312"/>
      <c r="P56" s="82" t="s">
        <v>11</v>
      </c>
      <c r="Q56" s="83">
        <f>Q54-Q55</f>
        <v>59098</v>
      </c>
    </row>
    <row r="57" spans="2:17" s="16" customFormat="1" ht="15" customHeight="1">
      <c r="B57" s="316"/>
      <c r="C57" s="313" t="s">
        <v>145</v>
      </c>
      <c r="D57" s="313"/>
      <c r="E57" s="313"/>
      <c r="F57" s="313"/>
      <c r="G57" s="313"/>
      <c r="H57" s="313"/>
      <c r="I57" s="313"/>
      <c r="J57" s="313"/>
      <c r="K57" s="313"/>
      <c r="L57" s="313"/>
      <c r="M57" s="313"/>
      <c r="N57" s="313"/>
      <c r="O57" s="313"/>
      <c r="P57" s="82" t="s">
        <v>11</v>
      </c>
      <c r="Q57" s="84">
        <f>ROUND(Q56*0.04,0)</f>
        <v>2364</v>
      </c>
    </row>
    <row r="58" spans="2:17" s="16" customFormat="1" ht="15" customHeight="1">
      <c r="B58" s="317"/>
      <c r="C58" s="314" t="s">
        <v>100</v>
      </c>
      <c r="D58" s="314"/>
      <c r="E58" s="314"/>
      <c r="F58" s="314"/>
      <c r="G58" s="314"/>
      <c r="H58" s="314"/>
      <c r="I58" s="314"/>
      <c r="J58" s="314"/>
      <c r="K58" s="314"/>
      <c r="L58" s="314"/>
      <c r="M58" s="314"/>
      <c r="N58" s="314"/>
      <c r="O58" s="314"/>
      <c r="P58" s="82" t="s">
        <v>11</v>
      </c>
      <c r="Q58" s="83">
        <f>SUM(Q56:Q57)</f>
        <v>61462</v>
      </c>
    </row>
    <row r="59" spans="2:17" s="16" customFormat="1" ht="15" customHeight="1">
      <c r="B59" s="81">
        <v>17</v>
      </c>
      <c r="C59" s="343" t="s">
        <v>67</v>
      </c>
      <c r="D59" s="344"/>
      <c r="E59" s="344"/>
      <c r="F59" s="344"/>
      <c r="G59" s="344"/>
      <c r="H59" s="344"/>
      <c r="I59" s="344"/>
      <c r="J59" s="344"/>
      <c r="K59" s="344"/>
      <c r="L59" s="344"/>
      <c r="M59" s="344"/>
      <c r="N59" s="344"/>
      <c r="O59" s="345"/>
      <c r="P59" s="82" t="s">
        <v>11</v>
      </c>
      <c r="Q59" s="84">
        <f>'Other Deduction'!E17</f>
        <v>0</v>
      </c>
    </row>
    <row r="60" spans="2:17" s="16" customFormat="1" ht="15" customHeight="1">
      <c r="B60" s="81">
        <v>18</v>
      </c>
      <c r="C60" s="346" t="s">
        <v>83</v>
      </c>
      <c r="D60" s="346"/>
      <c r="E60" s="346"/>
      <c r="F60" s="346"/>
      <c r="G60" s="346"/>
      <c r="H60" s="346"/>
      <c r="I60" s="346"/>
      <c r="J60" s="346"/>
      <c r="K60" s="346"/>
      <c r="L60" s="346"/>
      <c r="M60" s="346"/>
      <c r="N60" s="346"/>
      <c r="O60" s="346"/>
      <c r="P60" s="82" t="s">
        <v>11</v>
      </c>
      <c r="Q60" s="83">
        <f>Q58-Q59</f>
        <v>61462</v>
      </c>
    </row>
    <row r="61" spans="2:17" ht="33.75" customHeight="1">
      <c r="B61" s="315">
        <v>19</v>
      </c>
      <c r="C61" s="349" t="s">
        <v>59</v>
      </c>
      <c r="D61" s="349"/>
      <c r="E61" s="350"/>
      <c r="F61" s="347" t="s">
        <v>185</v>
      </c>
      <c r="G61" s="347"/>
      <c r="H61" s="347"/>
      <c r="I61" s="347"/>
      <c r="J61" s="336" t="s">
        <v>190</v>
      </c>
      <c r="K61" s="348"/>
      <c r="L61" s="97" t="s">
        <v>187</v>
      </c>
      <c r="M61" s="336" t="s">
        <v>188</v>
      </c>
      <c r="N61" s="348"/>
      <c r="O61" s="97" t="s">
        <v>87</v>
      </c>
      <c r="P61" s="336" t="s">
        <v>143</v>
      </c>
      <c r="Q61" s="337"/>
    </row>
    <row r="62" spans="2:17">
      <c r="B62" s="317"/>
      <c r="C62" s="351"/>
      <c r="D62" s="351"/>
      <c r="E62" s="352"/>
      <c r="F62" s="338">
        <f>SUM('GA-55'!X10:X16)</f>
        <v>35000</v>
      </c>
      <c r="G62" s="338"/>
      <c r="H62" s="338"/>
      <c r="I62" s="338"/>
      <c r="J62" s="338">
        <f>SUM('GA-55'!X17:X19)</f>
        <v>15000</v>
      </c>
      <c r="K62" s="338"/>
      <c r="L62" s="98">
        <f>'GA-55'!X20</f>
        <v>5000</v>
      </c>
      <c r="M62" s="338">
        <f>'GA-55'!X21</f>
        <v>5000</v>
      </c>
      <c r="N62" s="338"/>
      <c r="O62" s="99">
        <f>SUM('GA-55'!X22:X30)+'Other Deduction'!E18</f>
        <v>0</v>
      </c>
      <c r="P62" s="339">
        <f>F62+J62+L62+M62+O62</f>
        <v>60000</v>
      </c>
      <c r="Q62" s="340"/>
    </row>
    <row r="63" spans="2:17" ht="16.5" thickBot="1">
      <c r="B63" s="341" t="str">
        <f>IF(Q60&gt;P62,"Income Tax Payable",IF(Q60&lt;P62,"Income Tax Refundable","Income Tax Payble/Refundable"))</f>
        <v>Income Tax Payable</v>
      </c>
      <c r="C63" s="342"/>
      <c r="D63" s="342"/>
      <c r="E63" s="342"/>
      <c r="F63" s="342"/>
      <c r="G63" s="342"/>
      <c r="H63" s="342"/>
      <c r="I63" s="342"/>
      <c r="J63" s="342"/>
      <c r="K63" s="342"/>
      <c r="L63" s="342"/>
      <c r="M63" s="342"/>
      <c r="N63" s="342"/>
      <c r="O63" s="342"/>
      <c r="P63" s="100" t="s">
        <v>11</v>
      </c>
      <c r="Q63" s="101">
        <f>IF(Q60&gt;P62,Q60-P62,P62-Q60)</f>
        <v>1462</v>
      </c>
    </row>
    <row r="64" spans="2:17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1"/>
      <c r="Q64" s="32"/>
    </row>
    <row r="65" spans="1:18" ht="16.5">
      <c r="B65" s="6"/>
      <c r="C65" s="7"/>
      <c r="D65" s="7"/>
      <c r="E65" s="33" t="s">
        <v>113</v>
      </c>
      <c r="F65" s="7"/>
      <c r="G65" s="7"/>
      <c r="H65" s="7"/>
      <c r="I65" s="7"/>
      <c r="J65" s="7"/>
      <c r="K65" s="7"/>
      <c r="L65" s="7"/>
      <c r="M65" s="7"/>
      <c r="N65" s="7"/>
      <c r="O65" s="7"/>
      <c r="P65" s="8"/>
      <c r="Q65" s="9"/>
    </row>
    <row r="66" spans="1:18">
      <c r="B66" s="6"/>
      <c r="C66" s="7"/>
      <c r="D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8"/>
      <c r="Q66" s="9"/>
    </row>
    <row r="67" spans="1:18" s="42" customFormat="1" ht="15.75" customHeight="1">
      <c r="B67" s="43"/>
      <c r="C67" s="335"/>
      <c r="D67" s="335"/>
      <c r="E67" s="335"/>
      <c r="F67" s="335"/>
      <c r="G67" s="335"/>
      <c r="H67" s="335"/>
      <c r="I67" s="335"/>
      <c r="J67" s="335"/>
      <c r="K67" s="335"/>
      <c r="L67" s="335"/>
      <c r="M67" s="335"/>
      <c r="N67" s="335"/>
      <c r="O67" s="335"/>
      <c r="P67" s="335"/>
      <c r="Q67" s="335"/>
    </row>
    <row r="68" spans="1:18" s="42" customFormat="1" ht="15.75" hidden="1" customHeight="1">
      <c r="B68" s="44"/>
      <c r="C68" s="335"/>
      <c r="D68" s="335"/>
      <c r="E68" s="335"/>
      <c r="F68" s="335"/>
      <c r="G68" s="335"/>
      <c r="H68" s="335"/>
      <c r="I68" s="335"/>
      <c r="J68" s="335"/>
      <c r="K68" s="335"/>
      <c r="L68" s="335"/>
      <c r="M68" s="335"/>
      <c r="N68" s="335"/>
      <c r="O68" s="335"/>
      <c r="P68" s="335"/>
      <c r="Q68" s="335"/>
    </row>
    <row r="69" spans="1:18" s="42" customFormat="1" ht="24" hidden="1" customHeight="1">
      <c r="B69" s="43"/>
      <c r="C69" s="335"/>
      <c r="D69" s="335"/>
      <c r="E69" s="335"/>
      <c r="F69" s="335"/>
      <c r="G69" s="335"/>
      <c r="H69" s="335"/>
      <c r="I69" s="335"/>
      <c r="J69" s="335"/>
      <c r="K69" s="335"/>
      <c r="L69" s="335"/>
      <c r="M69" s="335"/>
      <c r="N69" s="335"/>
      <c r="O69" s="335"/>
      <c r="P69" s="335"/>
      <c r="Q69" s="335"/>
    </row>
    <row r="70" spans="1:18" s="42" customFormat="1" ht="15.75" hidden="1" customHeight="1">
      <c r="B70" s="43"/>
      <c r="C70" s="45"/>
      <c r="D70" s="45"/>
      <c r="E70" s="45"/>
      <c r="F70" s="45"/>
      <c r="G70" s="45"/>
      <c r="H70" s="45"/>
      <c r="I70" s="45"/>
      <c r="J70" s="45"/>
      <c r="K70" s="45"/>
      <c r="L70" s="309"/>
      <c r="M70" s="309"/>
      <c r="N70" s="309"/>
      <c r="O70" s="309"/>
      <c r="P70" s="309"/>
      <c r="Q70" s="309"/>
    </row>
    <row r="71" spans="1:18" s="42" customFormat="1" ht="15.75" hidden="1" customHeight="1">
      <c r="B71" s="43"/>
      <c r="C71" s="45"/>
      <c r="D71" s="45"/>
      <c r="E71" s="45"/>
      <c r="F71" s="45"/>
      <c r="G71" s="45"/>
      <c r="H71" s="45"/>
      <c r="I71" s="45"/>
      <c r="J71" s="45"/>
      <c r="K71" s="45"/>
      <c r="L71" s="309"/>
      <c r="M71" s="309"/>
      <c r="N71" s="309"/>
      <c r="O71" s="309"/>
      <c r="P71" s="309"/>
      <c r="Q71" s="309"/>
    </row>
    <row r="72" spans="1:18" s="42" customFormat="1" ht="15.75" hidden="1" customHeight="1">
      <c r="B72" s="43"/>
      <c r="C72" s="45"/>
      <c r="D72" s="45"/>
      <c r="E72" s="45"/>
      <c r="F72" s="45"/>
      <c r="G72" s="45"/>
      <c r="H72" s="45"/>
      <c r="I72" s="45"/>
      <c r="J72" s="45"/>
      <c r="K72" s="45"/>
      <c r="L72" s="309"/>
      <c r="M72" s="309"/>
      <c r="N72" s="309"/>
      <c r="O72" s="309"/>
      <c r="P72" s="309"/>
      <c r="Q72" s="309"/>
    </row>
    <row r="73" spans="1:18" s="42" customFormat="1" ht="15.75" hidden="1" customHeight="1">
      <c r="B73" s="43"/>
      <c r="C73" s="45"/>
      <c r="D73" s="45"/>
      <c r="E73" s="45"/>
      <c r="F73" s="45"/>
      <c r="G73" s="45"/>
      <c r="H73" s="45"/>
      <c r="I73" s="45"/>
      <c r="J73" s="45"/>
      <c r="K73" s="45"/>
      <c r="L73" s="309"/>
      <c r="M73" s="309"/>
      <c r="N73" s="309"/>
      <c r="O73" s="309"/>
      <c r="P73" s="309"/>
      <c r="Q73" s="309"/>
    </row>
    <row r="74" spans="1:18" s="42" customFormat="1" ht="15.75" hidden="1" customHeight="1">
      <c r="B74" s="43"/>
      <c r="C74" s="45"/>
      <c r="D74" s="45"/>
      <c r="E74" s="45"/>
      <c r="F74" s="45"/>
      <c r="G74" s="45"/>
      <c r="H74" s="45"/>
      <c r="I74" s="45"/>
      <c r="J74" s="45"/>
      <c r="K74" s="45"/>
      <c r="L74" s="309"/>
      <c r="M74" s="309"/>
      <c r="N74" s="309"/>
      <c r="O74" s="309"/>
      <c r="P74" s="309"/>
      <c r="Q74" s="309"/>
    </row>
    <row r="75" spans="1:18" s="42" customFormat="1" hidden="1">
      <c r="B75" s="44"/>
      <c r="C75" s="46"/>
      <c r="D75" s="398"/>
      <c r="E75" s="398"/>
      <c r="F75" s="398"/>
      <c r="G75" s="398"/>
      <c r="H75" s="398"/>
      <c r="I75" s="398"/>
      <c r="J75" s="398"/>
      <c r="K75" s="46"/>
      <c r="L75" s="309"/>
      <c r="M75" s="309"/>
      <c r="N75" s="309"/>
      <c r="O75" s="309"/>
      <c r="P75" s="309"/>
      <c r="Q75" s="309"/>
    </row>
    <row r="76" spans="1:18" s="42" customFormat="1" hidden="1">
      <c r="B76" s="44"/>
      <c r="C76" s="46"/>
      <c r="D76" s="46"/>
      <c r="E76" s="46"/>
      <c r="F76" s="46"/>
      <c r="G76" s="46"/>
      <c r="H76" s="46"/>
      <c r="I76" s="46"/>
      <c r="J76" s="46"/>
      <c r="K76" s="46"/>
      <c r="L76" s="309"/>
      <c r="M76" s="309"/>
      <c r="N76" s="309"/>
      <c r="O76" s="309"/>
      <c r="P76" s="309"/>
      <c r="Q76" s="309"/>
    </row>
    <row r="77" spans="1:18" hidden="1">
      <c r="A77" s="36"/>
      <c r="B77" s="37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9"/>
      <c r="Q77" s="40"/>
      <c r="R77" s="36"/>
    </row>
    <row r="78" spans="1:18" hidden="1">
      <c r="A78" s="36"/>
      <c r="B78" s="37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9"/>
      <c r="Q78" s="40"/>
      <c r="R78" s="36"/>
    </row>
    <row r="79" spans="1:18" hidden="1">
      <c r="A79" s="36"/>
      <c r="B79" s="37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9"/>
      <c r="Q79" s="40"/>
      <c r="R79" s="36"/>
    </row>
    <row r="80" spans="1:18"/>
    <row r="81"/>
    <row r="82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16">
    <mergeCell ref="B12:B14"/>
    <mergeCell ref="C12:J12"/>
    <mergeCell ref="K12:L12"/>
    <mergeCell ref="E14:G14"/>
    <mergeCell ref="E13:G13"/>
    <mergeCell ref="C13:D14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B19:B33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F51:G51"/>
    <mergeCell ref="C19:Q19"/>
    <mergeCell ref="C20:Q20"/>
    <mergeCell ref="D21:G21"/>
    <mergeCell ref="D22:G22"/>
    <mergeCell ref="C30:M30"/>
    <mergeCell ref="K29:M29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R85"/>
  <sheetViews>
    <sheetView showGridLines="0" topLeftCell="A25" workbookViewId="0">
      <selection activeCell="C12" sqref="C12:J12"/>
    </sheetView>
  </sheetViews>
  <sheetFormatPr defaultColWidth="0" defaultRowHeight="15.6" customHeight="1" zeroHeight="1"/>
  <cols>
    <col min="1" max="1" width="3" customWidth="1" collapsed="1"/>
    <col min="2" max="2" width="4.42578125" style="11" customWidth="1" collapsed="1"/>
    <col min="3" max="3" width="4.5703125" style="10" customWidth="1" collapsed="1"/>
    <col min="4" max="5" width="9.140625" style="10" customWidth="1" collapsed="1"/>
    <col min="6" max="6" width="3.85546875" style="10" customWidth="1" collapsed="1"/>
    <col min="7" max="7" width="5.140625" style="10" customWidth="1" collapsed="1"/>
    <col min="8" max="8" width="3.28515625" style="10" customWidth="1" collapsed="1"/>
    <col min="9" max="9" width="10.5703125" style="10" customWidth="1" collapsed="1"/>
    <col min="10" max="10" width="5.140625" style="10" customWidth="1" collapsed="1"/>
    <col min="11" max="11" width="10.28515625" style="10" customWidth="1" collapsed="1"/>
    <col min="12" max="12" width="11.42578125" style="10" customWidth="1" collapsed="1"/>
    <col min="13" max="13" width="9.42578125" style="10" customWidth="1" collapsed="1"/>
    <col min="14" max="14" width="3.85546875" style="10" customWidth="1" collapsed="1"/>
    <col min="15" max="15" width="11.85546875" style="10" customWidth="1" collapsed="1"/>
    <col min="16" max="16" width="3.5703125" style="12" customWidth="1" collapsed="1"/>
    <col min="17" max="17" width="16.140625" style="13" customWidth="1" collapsed="1"/>
    <col min="18" max="18" width="2.42578125" customWidth="1" collapsed="1"/>
    <col min="19" max="16384" width="9.140625" hidden="1" collapsed="1"/>
  </cols>
  <sheetData>
    <row r="1" spans="2:17" s="16" customFormat="1" ht="18.75">
      <c r="B1" s="411" t="str">
        <f>'GA-55'!C4</f>
        <v>GOVT SR. SEC SCHOOL DILOD HATHI, ATRU BARAN</v>
      </c>
      <c r="C1" s="411"/>
      <c r="D1" s="411"/>
      <c r="E1" s="411"/>
      <c r="F1" s="411"/>
      <c r="G1" s="411"/>
      <c r="H1" s="411"/>
      <c r="I1" s="411"/>
      <c r="J1" s="411"/>
      <c r="K1" s="411"/>
      <c r="L1" s="411"/>
      <c r="M1" s="411"/>
      <c r="N1" s="411"/>
      <c r="O1" s="411"/>
      <c r="P1" s="411"/>
      <c r="Q1" s="411"/>
    </row>
    <row r="2" spans="2:17" s="16" customFormat="1" ht="21" thickBot="1">
      <c r="B2" s="412" t="s">
        <v>184</v>
      </c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  <c r="Q2" s="412"/>
    </row>
    <row r="3" spans="2:17" s="16" customFormat="1" ht="15" customHeight="1">
      <c r="B3" s="27">
        <v>1</v>
      </c>
      <c r="C3" s="413" t="s">
        <v>10</v>
      </c>
      <c r="D3" s="414"/>
      <c r="E3" s="415" t="str">
        <f>'GA-55'!D6</f>
        <v>PARMANAND MEGHWAL</v>
      </c>
      <c r="F3" s="415"/>
      <c r="G3" s="415"/>
      <c r="H3" s="415"/>
      <c r="I3" s="415"/>
      <c r="J3" s="415"/>
      <c r="K3" s="28" t="s">
        <v>28</v>
      </c>
      <c r="L3" s="416" t="str">
        <f>'GA-55'!K6</f>
        <v>SR TEACHER</v>
      </c>
      <c r="M3" s="416"/>
      <c r="N3" s="416"/>
      <c r="O3" s="29" t="s">
        <v>27</v>
      </c>
      <c r="P3" s="417" t="str">
        <f>IF('GA-55'!P6="","",'GA-55'!P6)</f>
        <v>ASQPM6311G</v>
      </c>
      <c r="Q3" s="418"/>
    </row>
    <row r="4" spans="2:17" s="16" customFormat="1" ht="15" customHeight="1">
      <c r="B4" s="19">
        <v>2</v>
      </c>
      <c r="C4" s="402" t="s">
        <v>189</v>
      </c>
      <c r="D4" s="402"/>
      <c r="E4" s="403"/>
      <c r="F4" s="403"/>
      <c r="G4" s="403"/>
      <c r="H4" s="403"/>
      <c r="I4" s="403"/>
      <c r="J4" s="403"/>
      <c r="K4" s="402"/>
      <c r="L4" s="403"/>
      <c r="M4" s="403"/>
      <c r="N4" s="403"/>
      <c r="O4" s="402"/>
      <c r="P4" s="60" t="s">
        <v>11</v>
      </c>
      <c r="Q4" s="20">
        <f>'GA-55'!N31</f>
        <v>871899</v>
      </c>
    </row>
    <row r="5" spans="2:17" s="16" customFormat="1" ht="15" customHeight="1">
      <c r="B5" s="19">
        <v>3</v>
      </c>
      <c r="C5" s="403" t="s">
        <v>371</v>
      </c>
      <c r="D5" s="403"/>
      <c r="E5" s="403"/>
      <c r="F5" s="403"/>
      <c r="G5" s="403"/>
      <c r="H5" s="403"/>
      <c r="I5" s="403"/>
      <c r="J5" s="403"/>
      <c r="K5" s="403"/>
      <c r="L5" s="403"/>
      <c r="M5" s="403"/>
      <c r="N5" s="403"/>
      <c r="O5" s="403"/>
      <c r="P5" s="60" t="s">
        <v>11</v>
      </c>
      <c r="Q5" s="21">
        <v>0</v>
      </c>
    </row>
    <row r="6" spans="2:17" s="16" customFormat="1" ht="15" customHeight="1">
      <c r="B6" s="19"/>
      <c r="C6" s="408" t="s">
        <v>370</v>
      </c>
      <c r="D6" s="409"/>
      <c r="E6" s="409"/>
      <c r="F6" s="409"/>
      <c r="G6" s="409"/>
      <c r="H6" s="409"/>
      <c r="I6" s="409"/>
      <c r="J6" s="409"/>
      <c r="K6" s="409"/>
      <c r="L6" s="409"/>
      <c r="M6" s="409"/>
      <c r="N6" s="409"/>
      <c r="O6" s="419"/>
      <c r="P6" s="270" t="s">
        <v>11</v>
      </c>
      <c r="Q6" s="21">
        <v>0</v>
      </c>
    </row>
    <row r="7" spans="2:17" s="16" customFormat="1" ht="15" customHeight="1">
      <c r="B7" s="19">
        <v>4</v>
      </c>
      <c r="C7" s="404" t="s">
        <v>29</v>
      </c>
      <c r="D7" s="404"/>
      <c r="E7" s="404"/>
      <c r="F7" s="404"/>
      <c r="G7" s="404"/>
      <c r="H7" s="404"/>
      <c r="I7" s="404"/>
      <c r="J7" s="404"/>
      <c r="K7" s="404"/>
      <c r="L7" s="404"/>
      <c r="M7" s="404"/>
      <c r="N7" s="404"/>
      <c r="O7" s="404"/>
      <c r="P7" s="60" t="s">
        <v>11</v>
      </c>
      <c r="Q7" s="21">
        <f>Q4-Q5-Q6</f>
        <v>871899</v>
      </c>
    </row>
    <row r="8" spans="2:17" s="16" customFormat="1" ht="15" customHeight="1">
      <c r="B8" s="405">
        <v>5</v>
      </c>
      <c r="C8" s="408" t="s">
        <v>71</v>
      </c>
      <c r="D8" s="409"/>
      <c r="E8" s="409"/>
      <c r="F8" s="409"/>
      <c r="G8" s="409"/>
      <c r="H8" s="409"/>
      <c r="I8" s="409"/>
      <c r="J8" s="409"/>
      <c r="K8" s="409"/>
      <c r="L8" s="409"/>
      <c r="M8" s="410">
        <f>'Other Deduction'!B4</f>
        <v>0</v>
      </c>
      <c r="N8" s="410"/>
      <c r="O8" s="410"/>
      <c r="P8" s="431"/>
      <c r="Q8" s="432"/>
    </row>
    <row r="9" spans="2:17" s="16" customFormat="1" ht="15" customHeight="1">
      <c r="B9" s="406"/>
      <c r="C9" s="408" t="s">
        <v>72</v>
      </c>
      <c r="D9" s="409"/>
      <c r="E9" s="409"/>
      <c r="F9" s="409"/>
      <c r="G9" s="409"/>
      <c r="H9" s="409"/>
      <c r="I9" s="409"/>
      <c r="J9" s="409"/>
      <c r="K9" s="409"/>
      <c r="L9" s="409"/>
      <c r="M9" s="410">
        <f>'Other Deduction'!B5</f>
        <v>0</v>
      </c>
      <c r="N9" s="410"/>
      <c r="O9" s="410"/>
      <c r="P9" s="433"/>
      <c r="Q9" s="434"/>
    </row>
    <row r="10" spans="2:17" s="16" customFormat="1" ht="15" customHeight="1">
      <c r="B10" s="407"/>
      <c r="C10" s="408" t="s">
        <v>161</v>
      </c>
      <c r="D10" s="409"/>
      <c r="E10" s="409"/>
      <c r="F10" s="409"/>
      <c r="G10" s="409"/>
      <c r="H10" s="409"/>
      <c r="I10" s="409"/>
      <c r="J10" s="409"/>
      <c r="K10" s="409"/>
      <c r="L10" s="409"/>
      <c r="M10" s="410">
        <v>0</v>
      </c>
      <c r="N10" s="410"/>
      <c r="O10" s="410"/>
      <c r="P10" s="60" t="s">
        <v>11</v>
      </c>
      <c r="Q10" s="21">
        <f>SUM(M8:O10)</f>
        <v>0</v>
      </c>
    </row>
    <row r="11" spans="2:17" s="16" customFormat="1" ht="15" customHeight="1">
      <c r="B11" s="19">
        <v>6</v>
      </c>
      <c r="C11" s="430" t="s">
        <v>12</v>
      </c>
      <c r="D11" s="430"/>
      <c r="E11" s="430"/>
      <c r="F11" s="430"/>
      <c r="G11" s="430"/>
      <c r="H11" s="430"/>
      <c r="I11" s="430"/>
      <c r="J11" s="430"/>
      <c r="K11" s="430"/>
      <c r="L11" s="430"/>
      <c r="M11" s="430"/>
      <c r="N11" s="430"/>
      <c r="O11" s="430"/>
      <c r="P11" s="60" t="s">
        <v>11</v>
      </c>
      <c r="Q11" s="21">
        <f>Q7-Q10</f>
        <v>871899</v>
      </c>
    </row>
    <row r="12" spans="2:17" s="16" customFormat="1" ht="15" customHeight="1">
      <c r="B12" s="438">
        <v>7</v>
      </c>
      <c r="C12" s="403" t="s">
        <v>30</v>
      </c>
      <c r="D12" s="403"/>
      <c r="E12" s="403"/>
      <c r="F12" s="403"/>
      <c r="G12" s="403"/>
      <c r="H12" s="403"/>
      <c r="I12" s="403"/>
      <c r="J12" s="403"/>
      <c r="K12" s="430" t="s">
        <v>31</v>
      </c>
      <c r="L12" s="430"/>
      <c r="M12" s="410">
        <v>0</v>
      </c>
      <c r="N12" s="410"/>
      <c r="O12" s="410"/>
      <c r="P12" s="420"/>
      <c r="Q12" s="421"/>
    </row>
    <row r="13" spans="2:17" s="16" customFormat="1" ht="15" customHeight="1">
      <c r="B13" s="438"/>
      <c r="C13" s="422" t="s">
        <v>32</v>
      </c>
      <c r="D13" s="423"/>
      <c r="E13" s="426" t="s">
        <v>85</v>
      </c>
      <c r="F13" s="427"/>
      <c r="G13" s="428"/>
      <c r="H13" s="429" t="s">
        <v>13</v>
      </c>
      <c r="I13" s="429"/>
      <c r="J13" s="429"/>
      <c r="K13" s="430" t="s">
        <v>33</v>
      </c>
      <c r="L13" s="430"/>
      <c r="M13" s="430" t="s">
        <v>63</v>
      </c>
      <c r="N13" s="430"/>
      <c r="O13" s="430"/>
      <c r="P13" s="420"/>
      <c r="Q13" s="421"/>
    </row>
    <row r="14" spans="2:17" s="16" customFormat="1" ht="15" customHeight="1">
      <c r="B14" s="438"/>
      <c r="C14" s="424"/>
      <c r="D14" s="425"/>
      <c r="E14" s="435">
        <f>ROUND(M12*0.3,0)</f>
        <v>0</v>
      </c>
      <c r="F14" s="436"/>
      <c r="G14" s="437"/>
      <c r="H14" s="410">
        <v>0</v>
      </c>
      <c r="I14" s="410"/>
      <c r="J14" s="410"/>
      <c r="K14" s="410">
        <f>'Other Deduction'!B7</f>
        <v>0</v>
      </c>
      <c r="L14" s="410"/>
      <c r="M14" s="410">
        <f>E14+H14+K14</f>
        <v>0</v>
      </c>
      <c r="N14" s="410"/>
      <c r="O14" s="410"/>
      <c r="P14" s="420"/>
      <c r="Q14" s="421"/>
    </row>
    <row r="15" spans="2:17" s="16" customFormat="1" ht="15" customHeight="1">
      <c r="B15" s="19"/>
      <c r="C15" s="430" t="s">
        <v>34</v>
      </c>
      <c r="D15" s="430"/>
      <c r="E15" s="430"/>
      <c r="F15" s="430"/>
      <c r="G15" s="430"/>
      <c r="H15" s="430"/>
      <c r="I15" s="430"/>
      <c r="J15" s="430"/>
      <c r="K15" s="430"/>
      <c r="L15" s="430"/>
      <c r="M15" s="430"/>
      <c r="N15" s="430"/>
      <c r="O15" s="430"/>
      <c r="P15" s="60" t="s">
        <v>11</v>
      </c>
      <c r="Q15" s="21">
        <f>M12-M14</f>
        <v>0</v>
      </c>
    </row>
    <row r="16" spans="2:17" s="16" customFormat="1" ht="15" customHeight="1">
      <c r="B16" s="19">
        <v>8</v>
      </c>
      <c r="C16" s="430" t="s">
        <v>64</v>
      </c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0"/>
      <c r="O16" s="430"/>
      <c r="P16" s="60" t="s">
        <v>11</v>
      </c>
      <c r="Q16" s="21">
        <f>Q11+Q15</f>
        <v>871899</v>
      </c>
    </row>
    <row r="17" spans="2:17" s="16" customFormat="1" ht="15" customHeight="1">
      <c r="B17" s="19">
        <v>9</v>
      </c>
      <c r="C17" s="403" t="s">
        <v>26</v>
      </c>
      <c r="D17" s="403"/>
      <c r="E17" s="403"/>
      <c r="F17" s="403"/>
      <c r="G17" s="403"/>
      <c r="H17" s="403"/>
      <c r="I17" s="403"/>
      <c r="J17" s="403"/>
      <c r="K17" s="403"/>
      <c r="L17" s="403"/>
      <c r="M17" s="403"/>
      <c r="N17" s="403"/>
      <c r="O17" s="403"/>
      <c r="P17" s="60" t="s">
        <v>11</v>
      </c>
      <c r="Q17" s="21">
        <f>'Other Deduction'!E3+'Other Deduction'!E4</f>
        <v>0</v>
      </c>
    </row>
    <row r="18" spans="2:17" s="16" customFormat="1" ht="15" customHeight="1">
      <c r="B18" s="19">
        <v>10</v>
      </c>
      <c r="C18" s="403" t="s">
        <v>35</v>
      </c>
      <c r="D18" s="403"/>
      <c r="E18" s="403"/>
      <c r="F18" s="403"/>
      <c r="G18" s="403"/>
      <c r="H18" s="403"/>
      <c r="I18" s="403"/>
      <c r="J18" s="403"/>
      <c r="K18" s="403"/>
      <c r="L18" s="403"/>
      <c r="M18" s="403"/>
      <c r="N18" s="403"/>
      <c r="O18" s="403"/>
      <c r="P18" s="60" t="s">
        <v>11</v>
      </c>
      <c r="Q18" s="20">
        <f>Q16+Q17</f>
        <v>871899</v>
      </c>
    </row>
    <row r="19" spans="2:17" s="16" customFormat="1" ht="15" customHeight="1">
      <c r="B19" s="405">
        <v>11</v>
      </c>
      <c r="C19" s="442" t="s">
        <v>114</v>
      </c>
      <c r="D19" s="442"/>
      <c r="E19" s="442"/>
      <c r="F19" s="442"/>
      <c r="G19" s="442"/>
      <c r="H19" s="442"/>
      <c r="I19" s="442"/>
      <c r="J19" s="442"/>
      <c r="K19" s="442"/>
      <c r="L19" s="442"/>
      <c r="M19" s="442"/>
      <c r="N19" s="442"/>
      <c r="O19" s="442"/>
      <c r="P19" s="442"/>
      <c r="Q19" s="443"/>
    </row>
    <row r="20" spans="2:17" s="16" customFormat="1" ht="15" customHeight="1">
      <c r="B20" s="406"/>
      <c r="C20" s="444" t="s">
        <v>102</v>
      </c>
      <c r="D20" s="444"/>
      <c r="E20" s="444"/>
      <c r="F20" s="444"/>
      <c r="G20" s="444"/>
      <c r="H20" s="444"/>
      <c r="I20" s="444"/>
      <c r="J20" s="444"/>
      <c r="K20" s="444"/>
      <c r="L20" s="444"/>
      <c r="M20" s="444"/>
      <c r="N20" s="444"/>
      <c r="O20" s="444"/>
      <c r="P20" s="444"/>
      <c r="Q20" s="445"/>
    </row>
    <row r="21" spans="2:17" s="16" customFormat="1" ht="15" customHeight="1">
      <c r="B21" s="406"/>
      <c r="C21" s="4" t="s">
        <v>36</v>
      </c>
      <c r="D21" s="403" t="s">
        <v>73</v>
      </c>
      <c r="E21" s="403"/>
      <c r="F21" s="403"/>
      <c r="G21" s="403"/>
      <c r="H21" s="70" t="s">
        <v>11</v>
      </c>
      <c r="I21" s="14">
        <f>'GA-55'!Q31</f>
        <v>36000</v>
      </c>
      <c r="J21" s="4" t="s">
        <v>37</v>
      </c>
      <c r="K21" s="71" t="s">
        <v>40</v>
      </c>
      <c r="L21" s="71"/>
      <c r="M21" s="71"/>
      <c r="N21" s="70" t="s">
        <v>11</v>
      </c>
      <c r="O21" s="14">
        <f>'Other Deduction'!E6</f>
        <v>0</v>
      </c>
      <c r="P21" s="431"/>
      <c r="Q21" s="432"/>
    </row>
    <row r="22" spans="2:17" s="16" customFormat="1" ht="15" customHeight="1">
      <c r="B22" s="406"/>
      <c r="C22" s="4" t="s">
        <v>38</v>
      </c>
      <c r="D22" s="403" t="s">
        <v>74</v>
      </c>
      <c r="E22" s="403"/>
      <c r="F22" s="403"/>
      <c r="G22" s="403"/>
      <c r="H22" s="70" t="s">
        <v>11</v>
      </c>
      <c r="I22" s="14">
        <f>'GA-55'!T31+'Other Deduction'!B10</f>
        <v>7080</v>
      </c>
      <c r="J22" s="4" t="s">
        <v>39</v>
      </c>
      <c r="K22" s="71" t="s">
        <v>16</v>
      </c>
      <c r="L22" s="71"/>
      <c r="M22" s="71"/>
      <c r="N22" s="70" t="s">
        <v>11</v>
      </c>
      <c r="O22" s="15">
        <f>'Other Deduction'!B15</f>
        <v>0</v>
      </c>
      <c r="P22" s="446"/>
      <c r="Q22" s="447"/>
    </row>
    <row r="23" spans="2:17" s="16" customFormat="1" ht="15" customHeight="1">
      <c r="B23" s="406"/>
      <c r="C23" s="4" t="s">
        <v>41</v>
      </c>
      <c r="D23" s="403" t="s">
        <v>75</v>
      </c>
      <c r="E23" s="403"/>
      <c r="F23" s="403"/>
      <c r="G23" s="403"/>
      <c r="H23" s="70" t="s">
        <v>11</v>
      </c>
      <c r="I23" s="14">
        <f>'Other Deduction'!B14</f>
        <v>0</v>
      </c>
      <c r="J23" s="4" t="s">
        <v>42</v>
      </c>
      <c r="K23" s="439" t="s">
        <v>103</v>
      </c>
      <c r="L23" s="440"/>
      <c r="M23" s="441"/>
      <c r="N23" s="70" t="s">
        <v>11</v>
      </c>
      <c r="O23" s="15">
        <f>'Other Deduction'!B12</f>
        <v>0</v>
      </c>
      <c r="P23" s="446"/>
      <c r="Q23" s="447"/>
    </row>
    <row r="24" spans="2:17" s="16" customFormat="1" ht="15" customHeight="1">
      <c r="B24" s="406"/>
      <c r="C24" s="4" t="s">
        <v>43</v>
      </c>
      <c r="D24" s="403" t="s">
        <v>76</v>
      </c>
      <c r="E24" s="403"/>
      <c r="F24" s="403"/>
      <c r="G24" s="403"/>
      <c r="H24" s="70" t="s">
        <v>11</v>
      </c>
      <c r="I24" s="14">
        <f>'Other Deduction'!B16</f>
        <v>0</v>
      </c>
      <c r="J24" s="4" t="s">
        <v>44</v>
      </c>
      <c r="K24" s="439" t="s">
        <v>106</v>
      </c>
      <c r="L24" s="440"/>
      <c r="M24" s="441"/>
      <c r="N24" s="70" t="s">
        <v>11</v>
      </c>
      <c r="O24" s="14">
        <f>'Other Deduction'!E15</f>
        <v>0</v>
      </c>
      <c r="P24" s="446"/>
      <c r="Q24" s="447"/>
    </row>
    <row r="25" spans="2:17" s="16" customFormat="1" ht="15" customHeight="1">
      <c r="B25" s="406"/>
      <c r="C25" s="4" t="s">
        <v>45</v>
      </c>
      <c r="D25" s="403" t="s">
        <v>77</v>
      </c>
      <c r="E25" s="403"/>
      <c r="F25" s="403"/>
      <c r="G25" s="403"/>
      <c r="H25" s="70" t="s">
        <v>11</v>
      </c>
      <c r="I25" s="14">
        <f>'Other Deduction'!B17</f>
        <v>0</v>
      </c>
      <c r="J25" s="4" t="s">
        <v>48</v>
      </c>
      <c r="K25" s="71" t="s">
        <v>105</v>
      </c>
      <c r="L25" s="71"/>
      <c r="M25" s="71"/>
      <c r="N25" s="70" t="s">
        <v>11</v>
      </c>
      <c r="O25" s="14">
        <f>'Other Deduction'!E16</f>
        <v>0</v>
      </c>
      <c r="P25" s="446"/>
      <c r="Q25" s="447"/>
    </row>
    <row r="26" spans="2:17" s="16" customFormat="1" ht="30.75" customHeight="1">
      <c r="B26" s="406"/>
      <c r="C26" s="4" t="s">
        <v>47</v>
      </c>
      <c r="D26" s="452" t="s">
        <v>192</v>
      </c>
      <c r="E26" s="453"/>
      <c r="F26" s="453"/>
      <c r="G26" s="454"/>
      <c r="H26" s="70" t="s">
        <v>11</v>
      </c>
      <c r="I26" s="14">
        <f>'GA-55'!O31</f>
        <v>45827</v>
      </c>
      <c r="J26" s="4" t="s">
        <v>46</v>
      </c>
      <c r="K26" s="439" t="s">
        <v>104</v>
      </c>
      <c r="L26" s="440"/>
      <c r="M26" s="441"/>
      <c r="N26" s="70" t="s">
        <v>11</v>
      </c>
      <c r="O26" s="14">
        <f>'Other Deduction'!B11</f>
        <v>0</v>
      </c>
      <c r="P26" s="446"/>
      <c r="Q26" s="447"/>
    </row>
    <row r="27" spans="2:17" s="16" customFormat="1" ht="15" customHeight="1">
      <c r="B27" s="406"/>
      <c r="C27" s="4" t="s">
        <v>49</v>
      </c>
      <c r="D27" s="408" t="s">
        <v>110</v>
      </c>
      <c r="E27" s="409"/>
      <c r="F27" s="409"/>
      <c r="G27" s="419"/>
      <c r="H27" s="70" t="s">
        <v>11</v>
      </c>
      <c r="I27" s="15">
        <f>'GA-55'!U11</f>
        <v>0</v>
      </c>
      <c r="J27" s="4" t="s">
        <v>50</v>
      </c>
      <c r="K27" s="69" t="s">
        <v>136</v>
      </c>
      <c r="L27" s="69"/>
      <c r="M27" s="69"/>
      <c r="N27" s="70" t="s">
        <v>11</v>
      </c>
      <c r="O27" s="14">
        <f>'Other Deduction'!E5</f>
        <v>0</v>
      </c>
      <c r="P27" s="446"/>
      <c r="Q27" s="447"/>
    </row>
    <row r="28" spans="2:17" s="16" customFormat="1" ht="15" customHeight="1">
      <c r="B28" s="406"/>
      <c r="C28" s="4" t="s">
        <v>51</v>
      </c>
      <c r="D28" s="403" t="s">
        <v>9</v>
      </c>
      <c r="E28" s="403"/>
      <c r="F28" s="403"/>
      <c r="G28" s="403"/>
      <c r="H28" s="70" t="s">
        <v>11</v>
      </c>
      <c r="I28" s="15">
        <f>'Other Deduction'!B13</f>
        <v>0</v>
      </c>
      <c r="J28" s="4" t="s">
        <v>52</v>
      </c>
      <c r="K28" s="439" t="s">
        <v>141</v>
      </c>
      <c r="L28" s="440"/>
      <c r="M28" s="441"/>
      <c r="N28" s="70" t="s">
        <v>11</v>
      </c>
      <c r="O28" s="14">
        <f>'Other Deduction'!B18</f>
        <v>0</v>
      </c>
      <c r="P28" s="446"/>
      <c r="Q28" s="447"/>
    </row>
    <row r="29" spans="2:17" s="16" customFormat="1" ht="15" customHeight="1">
      <c r="B29" s="406"/>
      <c r="C29" s="4" t="s">
        <v>53</v>
      </c>
      <c r="D29" s="403" t="s">
        <v>86</v>
      </c>
      <c r="E29" s="403"/>
      <c r="F29" s="403"/>
      <c r="G29" s="403"/>
      <c r="H29" s="70" t="s">
        <v>11</v>
      </c>
      <c r="I29" s="14">
        <f>'GA-55'!V31+'Other Deduction'!B8</f>
        <v>0</v>
      </c>
      <c r="J29" s="4" t="s">
        <v>140</v>
      </c>
      <c r="K29" s="448"/>
      <c r="L29" s="448"/>
      <c r="M29" s="448"/>
      <c r="N29" s="70" t="s">
        <v>11</v>
      </c>
      <c r="O29" s="14"/>
      <c r="P29" s="446"/>
      <c r="Q29" s="447"/>
    </row>
    <row r="30" spans="2:17" s="16" customFormat="1" ht="15" customHeight="1">
      <c r="B30" s="406"/>
      <c r="C30" s="449" t="s">
        <v>142</v>
      </c>
      <c r="D30" s="450"/>
      <c r="E30" s="450"/>
      <c r="F30" s="450"/>
      <c r="G30" s="450"/>
      <c r="H30" s="450"/>
      <c r="I30" s="450"/>
      <c r="J30" s="450"/>
      <c r="K30" s="450"/>
      <c r="L30" s="450"/>
      <c r="M30" s="451"/>
      <c r="N30" s="60" t="s">
        <v>11</v>
      </c>
      <c r="O30" s="17">
        <f>SUM(I21:I29)+SUM(O21:O29)</f>
        <v>88907</v>
      </c>
      <c r="P30" s="433"/>
      <c r="Q30" s="434"/>
    </row>
    <row r="31" spans="2:17" s="16" customFormat="1" ht="15" customHeight="1">
      <c r="B31" s="406"/>
      <c r="C31" s="404" t="s">
        <v>101</v>
      </c>
      <c r="D31" s="404"/>
      <c r="E31" s="404"/>
      <c r="F31" s="404"/>
      <c r="G31" s="404"/>
      <c r="H31" s="404"/>
      <c r="I31" s="404"/>
      <c r="J31" s="404"/>
      <c r="K31" s="404"/>
      <c r="L31" s="404"/>
      <c r="M31" s="404"/>
      <c r="N31" s="404"/>
      <c r="O31" s="404"/>
      <c r="P31" s="60" t="s">
        <v>11</v>
      </c>
      <c r="Q31" s="20">
        <v>0</v>
      </c>
    </row>
    <row r="32" spans="2:17" s="16" customFormat="1" ht="15" customHeight="1">
      <c r="B32" s="406"/>
      <c r="C32" s="408" t="s">
        <v>335</v>
      </c>
      <c r="D32" s="409"/>
      <c r="E32" s="409"/>
      <c r="F32" s="409"/>
      <c r="G32" s="409"/>
      <c r="H32" s="409"/>
      <c r="I32" s="409"/>
      <c r="J32" s="409"/>
      <c r="K32" s="409"/>
      <c r="L32" s="409"/>
      <c r="M32" s="409"/>
      <c r="N32" s="409"/>
      <c r="O32" s="419"/>
      <c r="P32" s="72"/>
      <c r="Q32" s="20">
        <f>'Other Deduction'!E7</f>
        <v>0</v>
      </c>
    </row>
    <row r="33" spans="2:17" s="16" customFormat="1" ht="15" customHeight="1">
      <c r="B33" s="407"/>
      <c r="C33" s="404" t="s">
        <v>109</v>
      </c>
      <c r="D33" s="404"/>
      <c r="E33" s="404"/>
      <c r="F33" s="404"/>
      <c r="G33" s="404"/>
      <c r="H33" s="404"/>
      <c r="I33" s="404"/>
      <c r="J33" s="404"/>
      <c r="K33" s="404"/>
      <c r="L33" s="404"/>
      <c r="M33" s="404"/>
      <c r="N33" s="404"/>
      <c r="O33" s="404"/>
      <c r="P33" s="60" t="s">
        <v>11</v>
      </c>
      <c r="Q33" s="20">
        <f>SUM(Q31:Q31)</f>
        <v>0</v>
      </c>
    </row>
    <row r="34" spans="2:17" s="16" customFormat="1" ht="15" customHeight="1">
      <c r="B34" s="405">
        <v>12</v>
      </c>
      <c r="C34" s="442" t="s">
        <v>115</v>
      </c>
      <c r="D34" s="442"/>
      <c r="E34" s="442"/>
      <c r="F34" s="442"/>
      <c r="G34" s="442"/>
      <c r="H34" s="442"/>
      <c r="I34" s="442"/>
      <c r="J34" s="442"/>
      <c r="K34" s="442"/>
      <c r="L34" s="442"/>
      <c r="M34" s="442"/>
      <c r="N34" s="442"/>
      <c r="O34" s="442"/>
      <c r="P34" s="442"/>
      <c r="Q34" s="443"/>
    </row>
    <row r="35" spans="2:17" s="16" customFormat="1" ht="15" customHeight="1">
      <c r="B35" s="406"/>
      <c r="C35" s="467" t="s">
        <v>149</v>
      </c>
      <c r="D35" s="468"/>
      <c r="E35" s="468"/>
      <c r="F35" s="468"/>
      <c r="G35" s="468"/>
      <c r="H35" s="468"/>
      <c r="I35" s="468"/>
      <c r="J35" s="468"/>
      <c r="K35" s="468"/>
      <c r="L35" s="468"/>
      <c r="M35" s="468"/>
      <c r="N35" s="468"/>
      <c r="O35" s="469"/>
      <c r="P35" s="60" t="s">
        <v>11</v>
      </c>
      <c r="Q35" s="21">
        <v>0</v>
      </c>
    </row>
    <row r="36" spans="2:17" s="16" customFormat="1" ht="15" customHeight="1">
      <c r="B36" s="406"/>
      <c r="C36" s="403" t="s">
        <v>150</v>
      </c>
      <c r="D36" s="403"/>
      <c r="E36" s="403"/>
      <c r="F36" s="403"/>
      <c r="G36" s="403"/>
      <c r="H36" s="403"/>
      <c r="I36" s="403"/>
      <c r="J36" s="403"/>
      <c r="K36" s="403"/>
      <c r="L36" s="403"/>
      <c r="M36" s="403"/>
      <c r="N36" s="403"/>
      <c r="O36" s="403"/>
      <c r="P36" s="60" t="s">
        <v>11</v>
      </c>
      <c r="Q36" s="21">
        <v>0</v>
      </c>
    </row>
    <row r="37" spans="2:17" s="16" customFormat="1" ht="15" customHeight="1">
      <c r="B37" s="406"/>
      <c r="C37" s="403" t="s">
        <v>164</v>
      </c>
      <c r="D37" s="403"/>
      <c r="E37" s="403"/>
      <c r="F37" s="403"/>
      <c r="G37" s="403"/>
      <c r="H37" s="403"/>
      <c r="I37" s="403"/>
      <c r="J37" s="403"/>
      <c r="K37" s="403"/>
      <c r="L37" s="403"/>
      <c r="M37" s="403"/>
      <c r="N37" s="403"/>
      <c r="O37" s="403"/>
      <c r="P37" s="60" t="s">
        <v>11</v>
      </c>
      <c r="Q37" s="21">
        <v>0</v>
      </c>
    </row>
    <row r="38" spans="2:17" s="16" customFormat="1" ht="15" customHeight="1">
      <c r="B38" s="406"/>
      <c r="C38" s="403" t="s">
        <v>126</v>
      </c>
      <c r="D38" s="403"/>
      <c r="E38" s="403"/>
      <c r="F38" s="403"/>
      <c r="G38" s="403"/>
      <c r="H38" s="403"/>
      <c r="I38" s="403"/>
      <c r="J38" s="403"/>
      <c r="K38" s="403"/>
      <c r="L38" s="403"/>
      <c r="M38" s="403"/>
      <c r="N38" s="403"/>
      <c r="O38" s="403"/>
      <c r="P38" s="60" t="s">
        <v>11</v>
      </c>
      <c r="Q38" s="21">
        <v>0</v>
      </c>
    </row>
    <row r="39" spans="2:17" s="16" customFormat="1" ht="15" customHeight="1">
      <c r="B39" s="406"/>
      <c r="C39" s="403" t="s">
        <v>127</v>
      </c>
      <c r="D39" s="403"/>
      <c r="E39" s="403"/>
      <c r="F39" s="403"/>
      <c r="G39" s="403"/>
      <c r="H39" s="403"/>
      <c r="I39" s="403"/>
      <c r="J39" s="403"/>
      <c r="K39" s="403"/>
      <c r="L39" s="403"/>
      <c r="M39" s="403"/>
      <c r="N39" s="403"/>
      <c r="O39" s="403"/>
      <c r="P39" s="60" t="s">
        <v>11</v>
      </c>
      <c r="Q39" s="21">
        <v>0</v>
      </c>
    </row>
    <row r="40" spans="2:17" s="16" customFormat="1" ht="15" customHeight="1">
      <c r="B40" s="406"/>
      <c r="C40" s="467" t="s">
        <v>128</v>
      </c>
      <c r="D40" s="468"/>
      <c r="E40" s="468"/>
      <c r="F40" s="468"/>
      <c r="G40" s="468"/>
      <c r="H40" s="468"/>
      <c r="I40" s="468"/>
      <c r="J40" s="468"/>
      <c r="K40" s="468"/>
      <c r="L40" s="468"/>
      <c r="M40" s="468"/>
      <c r="N40" s="468"/>
      <c r="O40" s="469"/>
      <c r="P40" s="60" t="s">
        <v>11</v>
      </c>
      <c r="Q40" s="21">
        <v>0</v>
      </c>
    </row>
    <row r="41" spans="2:17" s="16" customFormat="1" ht="15" customHeight="1">
      <c r="B41" s="406"/>
      <c r="C41" s="408" t="s">
        <v>151</v>
      </c>
      <c r="D41" s="409"/>
      <c r="E41" s="409"/>
      <c r="F41" s="409"/>
      <c r="G41" s="409"/>
      <c r="H41" s="409"/>
      <c r="I41" s="409"/>
      <c r="J41" s="409"/>
      <c r="K41" s="409"/>
      <c r="L41" s="409"/>
      <c r="M41" s="409"/>
      <c r="N41" s="409"/>
      <c r="O41" s="419"/>
      <c r="P41" s="60" t="s">
        <v>11</v>
      </c>
      <c r="Q41" s="21">
        <v>0</v>
      </c>
    </row>
    <row r="42" spans="2:17" s="16" customFormat="1" ht="15" customHeight="1">
      <c r="B42" s="406"/>
      <c r="C42" s="408" t="s">
        <v>107</v>
      </c>
      <c r="D42" s="409"/>
      <c r="E42" s="409"/>
      <c r="F42" s="409"/>
      <c r="G42" s="409"/>
      <c r="H42" s="409"/>
      <c r="I42" s="409"/>
      <c r="J42" s="409"/>
      <c r="K42" s="409"/>
      <c r="L42" s="409"/>
      <c r="M42" s="409"/>
      <c r="N42" s="409"/>
      <c r="O42" s="419"/>
      <c r="P42" s="60" t="s">
        <v>11</v>
      </c>
      <c r="Q42" s="21">
        <v>0</v>
      </c>
    </row>
    <row r="43" spans="2:17" s="16" customFormat="1" ht="15" customHeight="1">
      <c r="B43" s="406"/>
      <c r="C43" s="408" t="s">
        <v>369</v>
      </c>
      <c r="D43" s="409"/>
      <c r="E43" s="409"/>
      <c r="F43" s="409"/>
      <c r="G43" s="409"/>
      <c r="H43" s="409"/>
      <c r="I43" s="409"/>
      <c r="J43" s="409"/>
      <c r="K43" s="409"/>
      <c r="L43" s="409"/>
      <c r="M43" s="409"/>
      <c r="N43" s="409"/>
      <c r="O43" s="419"/>
      <c r="P43" s="270" t="s">
        <v>11</v>
      </c>
      <c r="Q43" s="21">
        <v>0</v>
      </c>
    </row>
    <row r="44" spans="2:17" s="16" customFormat="1" ht="15" customHeight="1">
      <c r="B44" s="407"/>
      <c r="C44" s="404" t="s">
        <v>54</v>
      </c>
      <c r="D44" s="404"/>
      <c r="E44" s="404"/>
      <c r="F44" s="404"/>
      <c r="G44" s="404"/>
      <c r="H44" s="404"/>
      <c r="I44" s="404"/>
      <c r="J44" s="404"/>
      <c r="K44" s="404"/>
      <c r="L44" s="404"/>
      <c r="M44" s="404"/>
      <c r="N44" s="404"/>
      <c r="O44" s="404"/>
      <c r="P44" s="60" t="s">
        <v>11</v>
      </c>
      <c r="Q44" s="22">
        <v>0</v>
      </c>
    </row>
    <row r="45" spans="2:17" s="16" customFormat="1" ht="15" customHeight="1">
      <c r="B45" s="19">
        <v>13</v>
      </c>
      <c r="C45" s="442" t="s">
        <v>112</v>
      </c>
      <c r="D45" s="442"/>
      <c r="E45" s="442"/>
      <c r="F45" s="442"/>
      <c r="G45" s="442"/>
      <c r="H45" s="442"/>
      <c r="I45" s="442"/>
      <c r="J45" s="442"/>
      <c r="K45" s="442"/>
      <c r="L45" s="442"/>
      <c r="M45" s="442"/>
      <c r="N45" s="442"/>
      <c r="O45" s="442"/>
      <c r="P45" s="60" t="s">
        <v>11</v>
      </c>
      <c r="Q45" s="21">
        <f>Q33+Q44</f>
        <v>0</v>
      </c>
    </row>
    <row r="46" spans="2:17" s="16" customFormat="1" ht="15" customHeight="1">
      <c r="B46" s="19">
        <v>14</v>
      </c>
      <c r="C46" s="403" t="s">
        <v>65</v>
      </c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60" t="s">
        <v>11</v>
      </c>
      <c r="Q46" s="21">
        <f>(Q18-Q45)</f>
        <v>871899</v>
      </c>
    </row>
    <row r="47" spans="2:17" s="16" customFormat="1" ht="15.75">
      <c r="B47" s="19">
        <v>15</v>
      </c>
      <c r="C47" s="442" t="s">
        <v>144</v>
      </c>
      <c r="D47" s="442"/>
      <c r="E47" s="442"/>
      <c r="F47" s="442"/>
      <c r="G47" s="442"/>
      <c r="H47" s="442"/>
      <c r="I47" s="442"/>
      <c r="J47" s="442"/>
      <c r="K47" s="442"/>
      <c r="L47" s="442"/>
      <c r="M47" s="442"/>
      <c r="N47" s="442"/>
      <c r="O47" s="442"/>
      <c r="P47" s="60" t="s">
        <v>11</v>
      </c>
      <c r="Q47" s="20">
        <f>ROUND(Q46,-1)</f>
        <v>871900</v>
      </c>
    </row>
    <row r="48" spans="2:17" s="16" customFormat="1" ht="15" customHeight="1">
      <c r="B48" s="405">
        <v>16</v>
      </c>
      <c r="C48" s="403" t="s">
        <v>55</v>
      </c>
      <c r="D48" s="403"/>
      <c r="E48" s="403"/>
      <c r="F48" s="403"/>
      <c r="G48" s="403"/>
      <c r="H48" s="403"/>
      <c r="I48" s="403"/>
      <c r="J48" s="403"/>
      <c r="K48" s="403"/>
      <c r="L48" s="403"/>
      <c r="M48" s="403"/>
      <c r="N48" s="403"/>
      <c r="O48" s="403"/>
      <c r="P48" s="403"/>
      <c r="Q48" s="491"/>
    </row>
    <row r="49" spans="2:17" s="16" customFormat="1" ht="15" customHeight="1">
      <c r="B49" s="406"/>
      <c r="C49" s="463" t="s">
        <v>80</v>
      </c>
      <c r="D49" s="463"/>
      <c r="E49" s="463"/>
      <c r="F49" s="463"/>
      <c r="G49" s="463"/>
      <c r="H49" s="463" t="s">
        <v>96</v>
      </c>
      <c r="I49" s="463"/>
      <c r="J49" s="463"/>
      <c r="K49" s="463"/>
      <c r="L49" s="464" t="s">
        <v>111</v>
      </c>
      <c r="M49" s="465"/>
      <c r="N49" s="465"/>
      <c r="O49" s="466"/>
      <c r="P49" s="5"/>
      <c r="Q49" s="23"/>
    </row>
    <row r="50" spans="2:17" s="16" customFormat="1" ht="15" customHeight="1">
      <c r="B50" s="406"/>
      <c r="C50" s="455" t="s">
        <v>166</v>
      </c>
      <c r="D50" s="456"/>
      <c r="E50" s="457"/>
      <c r="F50" s="458" t="s">
        <v>56</v>
      </c>
      <c r="G50" s="458"/>
      <c r="H50" s="459" t="s">
        <v>97</v>
      </c>
      <c r="I50" s="460"/>
      <c r="J50" s="461"/>
      <c r="K50" s="62" t="s">
        <v>56</v>
      </c>
      <c r="L50" s="459" t="s">
        <v>97</v>
      </c>
      <c r="M50" s="460"/>
      <c r="N50" s="461"/>
      <c r="O50" s="62" t="s">
        <v>56</v>
      </c>
      <c r="P50" s="60" t="s">
        <v>11</v>
      </c>
      <c r="Q50" s="24">
        <v>0</v>
      </c>
    </row>
    <row r="51" spans="2:17" s="16" customFormat="1" ht="15" customHeight="1">
      <c r="B51" s="406"/>
      <c r="C51" s="455" t="s">
        <v>57</v>
      </c>
      <c r="D51" s="456"/>
      <c r="E51" s="457"/>
      <c r="F51" s="462">
        <v>0.05</v>
      </c>
      <c r="G51" s="458"/>
      <c r="H51" s="455" t="s">
        <v>57</v>
      </c>
      <c r="I51" s="456"/>
      <c r="J51" s="457"/>
      <c r="K51" s="61">
        <v>0.05</v>
      </c>
      <c r="L51" s="459" t="s">
        <v>82</v>
      </c>
      <c r="M51" s="460"/>
      <c r="N51" s="461"/>
      <c r="O51" s="61">
        <v>0.05</v>
      </c>
      <c r="P51" s="60" t="s">
        <v>11</v>
      </c>
      <c r="Q51" s="24">
        <f>ROUND(IF('GA-55'!AB2="No",IF(Q47&lt;250001,0,IF(Q47&gt;500000,12500,((Q47-250000)*0.05))),IF(Q47&lt;300001,0,IF(Q47&gt;500000,10000,((Q47-300000)*0.05)))),0)</f>
        <v>12500</v>
      </c>
    </row>
    <row r="52" spans="2:17" s="16" customFormat="1" ht="15" customHeight="1">
      <c r="B52" s="406"/>
      <c r="C52" s="455" t="s">
        <v>167</v>
      </c>
      <c r="D52" s="456"/>
      <c r="E52" s="457"/>
      <c r="F52" s="462">
        <v>0.1</v>
      </c>
      <c r="G52" s="458"/>
      <c r="H52" s="455" t="s">
        <v>167</v>
      </c>
      <c r="I52" s="456"/>
      <c r="J52" s="457"/>
      <c r="K52" s="61">
        <v>0.1</v>
      </c>
      <c r="L52" s="455" t="s">
        <v>167</v>
      </c>
      <c r="M52" s="456"/>
      <c r="N52" s="457"/>
      <c r="O52" s="61">
        <v>0.1</v>
      </c>
      <c r="P52" s="60" t="s">
        <v>11</v>
      </c>
      <c r="Q52" s="24">
        <f>IF(Q47&lt;500001,0,IF(Q47&gt;750000,25000,((Q47-500000)*0.1)))</f>
        <v>25000</v>
      </c>
    </row>
    <row r="53" spans="2:17" s="16" customFormat="1" ht="15" customHeight="1">
      <c r="B53" s="406"/>
      <c r="C53" s="455" t="s">
        <v>168</v>
      </c>
      <c r="D53" s="456"/>
      <c r="E53" s="457"/>
      <c r="F53" s="462">
        <v>0.15</v>
      </c>
      <c r="G53" s="458"/>
      <c r="H53" s="455" t="s">
        <v>168</v>
      </c>
      <c r="I53" s="456"/>
      <c r="J53" s="457"/>
      <c r="K53" s="61">
        <v>0.15</v>
      </c>
      <c r="L53" s="455" t="s">
        <v>168</v>
      </c>
      <c r="M53" s="456"/>
      <c r="N53" s="457"/>
      <c r="O53" s="61">
        <v>0.15</v>
      </c>
      <c r="P53" s="60"/>
      <c r="Q53" s="24">
        <f>IF(Q47&lt;750001,0,IF(Q47&gt;1000000,37500,((Q47-750000)*0.15)))</f>
        <v>18285</v>
      </c>
    </row>
    <row r="54" spans="2:17" s="16" customFormat="1" ht="15" customHeight="1">
      <c r="B54" s="406"/>
      <c r="C54" s="455" t="s">
        <v>169</v>
      </c>
      <c r="D54" s="456"/>
      <c r="E54" s="457"/>
      <c r="F54" s="462">
        <v>0.2</v>
      </c>
      <c r="G54" s="458"/>
      <c r="H54" s="455" t="s">
        <v>169</v>
      </c>
      <c r="I54" s="456"/>
      <c r="J54" s="457"/>
      <c r="K54" s="61">
        <v>0.2</v>
      </c>
      <c r="L54" s="455" t="s">
        <v>169</v>
      </c>
      <c r="M54" s="456"/>
      <c r="N54" s="457"/>
      <c r="O54" s="61">
        <v>0.2</v>
      </c>
      <c r="P54" s="60"/>
      <c r="Q54" s="24">
        <f>IF(Q47&lt;1000001,0,IF(Q47&gt;1250000,50000,((Q47-1000000)*0.2)))</f>
        <v>0</v>
      </c>
    </row>
    <row r="55" spans="2:17" s="16" customFormat="1" ht="15" customHeight="1">
      <c r="B55" s="406"/>
      <c r="C55" s="455" t="s">
        <v>170</v>
      </c>
      <c r="D55" s="456"/>
      <c r="E55" s="457"/>
      <c r="F55" s="462">
        <v>0.25</v>
      </c>
      <c r="G55" s="458"/>
      <c r="H55" s="455" t="s">
        <v>170</v>
      </c>
      <c r="I55" s="456"/>
      <c r="J55" s="457"/>
      <c r="K55" s="61">
        <v>0.25</v>
      </c>
      <c r="L55" s="455" t="s">
        <v>170</v>
      </c>
      <c r="M55" s="456"/>
      <c r="N55" s="457"/>
      <c r="O55" s="61">
        <v>0.25</v>
      </c>
      <c r="P55" s="60"/>
      <c r="Q55" s="24">
        <f>IF(Q47&lt;1250001,0,IF(Q47&gt;1500000,62500,((Q47-1250000)*0.25)))</f>
        <v>0</v>
      </c>
    </row>
    <row r="56" spans="2:17" s="16" customFormat="1" ht="15" customHeight="1">
      <c r="B56" s="406"/>
      <c r="C56" s="475" t="s">
        <v>171</v>
      </c>
      <c r="D56" s="476"/>
      <c r="E56" s="477"/>
      <c r="F56" s="462">
        <v>0.3</v>
      </c>
      <c r="G56" s="458"/>
      <c r="H56" s="475" t="s">
        <v>171</v>
      </c>
      <c r="I56" s="476"/>
      <c r="J56" s="477"/>
      <c r="K56" s="61">
        <v>0.3</v>
      </c>
      <c r="L56" s="475" t="s">
        <v>171</v>
      </c>
      <c r="M56" s="476"/>
      <c r="N56" s="477"/>
      <c r="O56" s="61">
        <v>0.3</v>
      </c>
      <c r="P56" s="60" t="s">
        <v>11</v>
      </c>
      <c r="Q56" s="24">
        <f>IF(Q47&lt;1500001,0,((Q47-1500000)*0.3))</f>
        <v>0</v>
      </c>
    </row>
    <row r="57" spans="2:17" s="16" customFormat="1" ht="15" customHeight="1">
      <c r="B57" s="406"/>
      <c r="C57" s="470" t="s">
        <v>66</v>
      </c>
      <c r="D57" s="471"/>
      <c r="E57" s="471"/>
      <c r="F57" s="471"/>
      <c r="G57" s="471"/>
      <c r="H57" s="471"/>
      <c r="I57" s="471"/>
      <c r="J57" s="471"/>
      <c r="K57" s="471"/>
      <c r="L57" s="471"/>
      <c r="M57" s="471"/>
      <c r="N57" s="471"/>
      <c r="O57" s="472"/>
      <c r="P57" s="60" t="s">
        <v>11</v>
      </c>
      <c r="Q57" s="20">
        <f>SUM(Q50:Q56)</f>
        <v>55785</v>
      </c>
    </row>
    <row r="58" spans="2:17" s="16" customFormat="1" ht="15" customHeight="1">
      <c r="B58" s="406"/>
      <c r="C58" s="492" t="s">
        <v>152</v>
      </c>
      <c r="D58" s="493"/>
      <c r="E58" s="493"/>
      <c r="F58" s="493"/>
      <c r="G58" s="493"/>
      <c r="H58" s="493"/>
      <c r="I58" s="493"/>
      <c r="J58" s="493"/>
      <c r="K58" s="493"/>
      <c r="L58" s="493"/>
      <c r="M58" s="493"/>
      <c r="N58" s="493"/>
      <c r="O58" s="494"/>
      <c r="P58" s="60" t="s">
        <v>11</v>
      </c>
      <c r="Q58" s="21">
        <f>IF(Q47&gt;500000,0,IF(Q57&lt;12501,Q57,12500))</f>
        <v>0</v>
      </c>
    </row>
    <row r="59" spans="2:17" s="16" customFormat="1" ht="15" customHeight="1">
      <c r="B59" s="406"/>
      <c r="C59" s="470" t="s">
        <v>99</v>
      </c>
      <c r="D59" s="471"/>
      <c r="E59" s="471"/>
      <c r="F59" s="471"/>
      <c r="G59" s="471"/>
      <c r="H59" s="471"/>
      <c r="I59" s="471"/>
      <c r="J59" s="471"/>
      <c r="K59" s="471"/>
      <c r="L59" s="471"/>
      <c r="M59" s="471"/>
      <c r="N59" s="471"/>
      <c r="O59" s="472"/>
      <c r="P59" s="60" t="s">
        <v>11</v>
      </c>
      <c r="Q59" s="20">
        <f>Q57-Q58</f>
        <v>55785</v>
      </c>
    </row>
    <row r="60" spans="2:17" s="16" customFormat="1" ht="15" customHeight="1">
      <c r="B60" s="406"/>
      <c r="C60" s="473" t="s">
        <v>145</v>
      </c>
      <c r="D60" s="473"/>
      <c r="E60" s="473"/>
      <c r="F60" s="473"/>
      <c r="G60" s="473"/>
      <c r="H60" s="473"/>
      <c r="I60" s="473"/>
      <c r="J60" s="473"/>
      <c r="K60" s="473"/>
      <c r="L60" s="473"/>
      <c r="M60" s="473"/>
      <c r="N60" s="473"/>
      <c r="O60" s="473"/>
      <c r="P60" s="60" t="s">
        <v>11</v>
      </c>
      <c r="Q60" s="21">
        <f>ROUND(Q59*0.04,0)</f>
        <v>2231</v>
      </c>
    </row>
    <row r="61" spans="2:17" s="16" customFormat="1" ht="15" customHeight="1">
      <c r="B61" s="407"/>
      <c r="C61" s="474" t="s">
        <v>100</v>
      </c>
      <c r="D61" s="474"/>
      <c r="E61" s="474"/>
      <c r="F61" s="474"/>
      <c r="G61" s="474"/>
      <c r="H61" s="474"/>
      <c r="I61" s="474"/>
      <c r="J61" s="474"/>
      <c r="K61" s="474"/>
      <c r="L61" s="474"/>
      <c r="M61" s="474"/>
      <c r="N61" s="474"/>
      <c r="O61" s="474"/>
      <c r="P61" s="60" t="s">
        <v>11</v>
      </c>
      <c r="Q61" s="20">
        <f>SUM(Q59:Q60)</f>
        <v>58016</v>
      </c>
    </row>
    <row r="62" spans="2:17" s="16" customFormat="1" ht="15" customHeight="1">
      <c r="B62" s="19">
        <v>17</v>
      </c>
      <c r="C62" s="408" t="s">
        <v>67</v>
      </c>
      <c r="D62" s="409"/>
      <c r="E62" s="409"/>
      <c r="F62" s="409"/>
      <c r="G62" s="409"/>
      <c r="H62" s="409"/>
      <c r="I62" s="409"/>
      <c r="J62" s="409"/>
      <c r="K62" s="409"/>
      <c r="L62" s="409"/>
      <c r="M62" s="409"/>
      <c r="N62" s="409"/>
      <c r="O62" s="419"/>
      <c r="P62" s="60" t="s">
        <v>11</v>
      </c>
      <c r="Q62" s="21">
        <f>'Other Deduction'!E17</f>
        <v>0</v>
      </c>
    </row>
    <row r="63" spans="2:17" s="16" customFormat="1" ht="15" customHeight="1">
      <c r="B63" s="19">
        <v>18</v>
      </c>
      <c r="C63" s="442" t="s">
        <v>83</v>
      </c>
      <c r="D63" s="442"/>
      <c r="E63" s="442"/>
      <c r="F63" s="442"/>
      <c r="G63" s="442"/>
      <c r="H63" s="442"/>
      <c r="I63" s="442"/>
      <c r="J63" s="442"/>
      <c r="K63" s="442"/>
      <c r="L63" s="442"/>
      <c r="M63" s="442"/>
      <c r="N63" s="442"/>
      <c r="O63" s="442"/>
      <c r="P63" s="60" t="s">
        <v>11</v>
      </c>
      <c r="Q63" s="20">
        <f>Q61-Q62</f>
        <v>58016</v>
      </c>
    </row>
    <row r="64" spans="2:17" ht="33.75" customHeight="1">
      <c r="B64" s="405">
        <v>19</v>
      </c>
      <c r="C64" s="485" t="s">
        <v>59</v>
      </c>
      <c r="D64" s="485"/>
      <c r="E64" s="486"/>
      <c r="F64" s="489" t="s">
        <v>185</v>
      </c>
      <c r="G64" s="489"/>
      <c r="H64" s="489"/>
      <c r="I64" s="489"/>
      <c r="J64" s="478" t="s">
        <v>186</v>
      </c>
      <c r="K64" s="490"/>
      <c r="L64" s="68" t="s">
        <v>187</v>
      </c>
      <c r="M64" s="478" t="s">
        <v>188</v>
      </c>
      <c r="N64" s="490"/>
      <c r="O64" s="63" t="s">
        <v>87</v>
      </c>
      <c r="P64" s="478" t="s">
        <v>143</v>
      </c>
      <c r="Q64" s="479"/>
    </row>
    <row r="65" spans="1:18" ht="15.75">
      <c r="B65" s="407"/>
      <c r="C65" s="487"/>
      <c r="D65" s="487"/>
      <c r="E65" s="488"/>
      <c r="F65" s="480">
        <f>SUM('GA-55'!X10:X16)</f>
        <v>35000</v>
      </c>
      <c r="G65" s="480"/>
      <c r="H65" s="480"/>
      <c r="I65" s="480"/>
      <c r="J65" s="480">
        <f>SUM('GA-55'!X17:X19)</f>
        <v>15000</v>
      </c>
      <c r="K65" s="480"/>
      <c r="L65" s="18">
        <f>'GA-55'!X20</f>
        <v>5000</v>
      </c>
      <c r="M65" s="480">
        <f>'GA-55'!X21</f>
        <v>5000</v>
      </c>
      <c r="N65" s="480"/>
      <c r="O65" s="41">
        <f>SUM('GA-55'!X22:X30)+'Other Deduction'!E18</f>
        <v>0</v>
      </c>
      <c r="P65" s="481">
        <f>F65+J65+L65+M65+O65</f>
        <v>60000</v>
      </c>
      <c r="Q65" s="482"/>
    </row>
    <row r="66" spans="1:18" ht="16.5" thickBot="1">
      <c r="B66" s="483" t="str">
        <f>IF(Q63&gt;P65,"Income Tax Payable",IF(Q63&lt;P65,"Income Tax Refundable","Income Tax Payble/Refundable"))</f>
        <v>Income Tax Refundable</v>
      </c>
      <c r="C66" s="484"/>
      <c r="D66" s="484"/>
      <c r="E66" s="484"/>
      <c r="F66" s="484"/>
      <c r="G66" s="484"/>
      <c r="H66" s="484"/>
      <c r="I66" s="484"/>
      <c r="J66" s="484"/>
      <c r="K66" s="484"/>
      <c r="L66" s="484"/>
      <c r="M66" s="484"/>
      <c r="N66" s="484"/>
      <c r="O66" s="484"/>
      <c r="P66" s="25" t="s">
        <v>11</v>
      </c>
      <c r="Q66" s="26">
        <f>IF(Q63&gt;P65,Q63-P65,P65-Q63)</f>
        <v>1984</v>
      </c>
    </row>
    <row r="67" spans="1:18" ht="15.75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1"/>
      <c r="Q67" s="32"/>
    </row>
    <row r="68" spans="1:18" ht="16.5">
      <c r="B68" s="6"/>
      <c r="C68" s="7"/>
      <c r="D68" s="7"/>
      <c r="E68" s="33" t="s">
        <v>113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8"/>
      <c r="Q68" s="9"/>
    </row>
    <row r="69" spans="1:18" ht="15.75">
      <c r="B69" s="6"/>
      <c r="C69" s="7"/>
      <c r="D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8"/>
      <c r="Q69" s="9"/>
    </row>
    <row r="70" spans="1:18" s="42" customFormat="1" ht="15.75" customHeight="1">
      <c r="B70" s="43"/>
      <c r="C70" s="335"/>
      <c r="D70" s="335"/>
      <c r="E70" s="335"/>
      <c r="F70" s="335"/>
      <c r="G70" s="335"/>
      <c r="H70" s="335"/>
      <c r="I70" s="335"/>
      <c r="J70" s="335"/>
      <c r="K70" s="335"/>
      <c r="L70" s="335"/>
      <c r="M70" s="335"/>
      <c r="N70" s="335"/>
      <c r="O70" s="335"/>
      <c r="P70" s="335"/>
      <c r="Q70" s="335"/>
    </row>
    <row r="71" spans="1:18" s="42" customFormat="1" ht="15.75" hidden="1" customHeight="1">
      <c r="B71" s="44"/>
      <c r="C71" s="335"/>
      <c r="D71" s="335"/>
      <c r="E71" s="335"/>
      <c r="F71" s="335"/>
      <c r="G71" s="335"/>
      <c r="H71" s="335"/>
      <c r="I71" s="335"/>
      <c r="J71" s="335"/>
      <c r="K71" s="335"/>
      <c r="L71" s="335"/>
      <c r="M71" s="335"/>
      <c r="N71" s="335"/>
      <c r="O71" s="335"/>
      <c r="P71" s="335"/>
      <c r="Q71" s="335"/>
    </row>
    <row r="72" spans="1:18" s="42" customFormat="1" ht="24" hidden="1" customHeight="1">
      <c r="B72" s="43"/>
      <c r="C72" s="335"/>
      <c r="D72" s="335"/>
      <c r="E72" s="335"/>
      <c r="F72" s="335"/>
      <c r="G72" s="335"/>
      <c r="H72" s="335"/>
      <c r="I72" s="335"/>
      <c r="J72" s="335"/>
      <c r="K72" s="335"/>
      <c r="L72" s="335"/>
      <c r="M72" s="335"/>
      <c r="N72" s="335"/>
      <c r="O72" s="335"/>
      <c r="P72" s="335"/>
      <c r="Q72" s="335"/>
    </row>
    <row r="73" spans="1:18" s="42" customFormat="1" ht="15.75" hidden="1" customHeight="1">
      <c r="B73" s="43"/>
      <c r="C73" s="45"/>
      <c r="D73" s="45"/>
      <c r="E73" s="45"/>
      <c r="F73" s="45"/>
      <c r="G73" s="45"/>
      <c r="H73" s="45"/>
      <c r="I73" s="45"/>
      <c r="J73" s="45"/>
      <c r="K73" s="45"/>
      <c r="L73" s="309"/>
      <c r="M73" s="309"/>
      <c r="N73" s="309"/>
      <c r="O73" s="309"/>
      <c r="P73" s="309"/>
      <c r="Q73" s="309"/>
    </row>
    <row r="74" spans="1:18" s="42" customFormat="1" ht="15.75" hidden="1" customHeight="1">
      <c r="B74" s="43"/>
      <c r="C74" s="45"/>
      <c r="D74" s="45"/>
      <c r="E74" s="45"/>
      <c r="F74" s="45"/>
      <c r="G74" s="45"/>
      <c r="H74" s="45"/>
      <c r="I74" s="45"/>
      <c r="J74" s="45"/>
      <c r="K74" s="45"/>
      <c r="L74" s="309"/>
      <c r="M74" s="309"/>
      <c r="N74" s="309"/>
      <c r="O74" s="309"/>
      <c r="P74" s="309"/>
      <c r="Q74" s="309"/>
    </row>
    <row r="75" spans="1:18" s="42" customFormat="1" ht="15.75" hidden="1" customHeight="1">
      <c r="B75" s="43"/>
      <c r="C75" s="45"/>
      <c r="D75" s="45"/>
      <c r="E75" s="45"/>
      <c r="F75" s="45"/>
      <c r="G75" s="45"/>
      <c r="H75" s="45"/>
      <c r="I75" s="45"/>
      <c r="J75" s="45"/>
      <c r="K75" s="45"/>
      <c r="L75" s="309"/>
      <c r="M75" s="309"/>
      <c r="N75" s="309"/>
      <c r="O75" s="309"/>
      <c r="P75" s="309"/>
      <c r="Q75" s="309"/>
    </row>
    <row r="76" spans="1:18" s="42" customFormat="1" ht="15.75" hidden="1" customHeight="1">
      <c r="B76" s="43"/>
      <c r="C76" s="45"/>
      <c r="D76" s="45"/>
      <c r="E76" s="45"/>
      <c r="F76" s="45"/>
      <c r="G76" s="45"/>
      <c r="H76" s="45"/>
      <c r="I76" s="45"/>
      <c r="J76" s="45"/>
      <c r="K76" s="45"/>
      <c r="L76" s="309"/>
      <c r="M76" s="309"/>
      <c r="N76" s="309"/>
      <c r="O76" s="309"/>
      <c r="P76" s="309"/>
      <c r="Q76" s="309"/>
    </row>
    <row r="77" spans="1:18" s="42" customFormat="1" ht="15.75" hidden="1" customHeight="1">
      <c r="B77" s="43"/>
      <c r="C77" s="45"/>
      <c r="D77" s="45"/>
      <c r="E77" s="45"/>
      <c r="F77" s="45"/>
      <c r="G77" s="45"/>
      <c r="H77" s="45"/>
      <c r="I77" s="45"/>
      <c r="J77" s="45"/>
      <c r="K77" s="45"/>
      <c r="L77" s="309"/>
      <c r="M77" s="309"/>
      <c r="N77" s="309"/>
      <c r="O77" s="309"/>
      <c r="P77" s="309"/>
      <c r="Q77" s="309"/>
    </row>
    <row r="78" spans="1:18" s="42" customFormat="1" ht="15.75" hidden="1">
      <c r="B78" s="44"/>
      <c r="C78" s="46"/>
      <c r="D78" s="398"/>
      <c r="E78" s="398"/>
      <c r="F78" s="398"/>
      <c r="G78" s="398"/>
      <c r="H78" s="398"/>
      <c r="I78" s="398"/>
      <c r="J78" s="398"/>
      <c r="K78" s="46"/>
      <c r="L78" s="309"/>
      <c r="M78" s="309"/>
      <c r="N78" s="309"/>
      <c r="O78" s="309"/>
      <c r="P78" s="309"/>
      <c r="Q78" s="309"/>
    </row>
    <row r="79" spans="1:18" s="42" customFormat="1" ht="15.75" hidden="1">
      <c r="B79" s="44"/>
      <c r="C79" s="46"/>
      <c r="D79" s="46"/>
      <c r="E79" s="46"/>
      <c r="F79" s="46"/>
      <c r="G79" s="46"/>
      <c r="H79" s="46"/>
      <c r="I79" s="46"/>
      <c r="J79" s="46"/>
      <c r="K79" s="46"/>
      <c r="L79" s="309"/>
      <c r="M79" s="309"/>
      <c r="N79" s="309"/>
      <c r="O79" s="309"/>
      <c r="P79" s="309"/>
      <c r="Q79" s="309"/>
    </row>
    <row r="80" spans="1:18" ht="15.75" hidden="1">
      <c r="A80" s="36"/>
      <c r="B80" s="37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9"/>
      <c r="Q80" s="40"/>
      <c r="R80" s="36"/>
    </row>
    <row r="81" spans="1:18" ht="15.75" hidden="1">
      <c r="A81" s="36"/>
      <c r="B81" s="37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9"/>
      <c r="Q81" s="40"/>
      <c r="R81" s="36"/>
    </row>
    <row r="82" spans="1:18" ht="15.75" hidden="1">
      <c r="A82" s="36"/>
      <c r="B82" s="37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9"/>
      <c r="Q82" s="40"/>
      <c r="R82" s="36"/>
    </row>
    <row r="83" spans="1:18" ht="15.6" customHeight="1"/>
    <row r="84" spans="1:18" ht="15.6" customHeight="1"/>
    <row r="85" spans="1:18" ht="15.6" customHeight="1"/>
  </sheetData>
  <sheetProtection password="FC12" sheet="1" objects="1" scenarios="1"/>
  <mergeCells count="128"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L157"/>
  <sheetViews>
    <sheetView workbookViewId="0">
      <selection activeCell="C130" sqref="C130:E130"/>
    </sheetView>
  </sheetViews>
  <sheetFormatPr defaultRowHeight="12.75"/>
  <cols>
    <col min="1" max="8" width="9.140625" style="138"/>
    <col min="9" max="9" width="10.85546875" style="138" customWidth="1"/>
    <col min="10" max="10" width="9.85546875" style="138" customWidth="1"/>
    <col min="11" max="11" width="9.140625" style="138"/>
    <col min="12" max="12" width="9.140625" style="139"/>
    <col min="13" max="16384" width="9.140625" style="137"/>
  </cols>
  <sheetData>
    <row r="1" spans="1:12" ht="18">
      <c r="A1" s="513" t="s">
        <v>194</v>
      </c>
      <c r="B1" s="514"/>
      <c r="C1" s="514"/>
      <c r="D1" s="514"/>
      <c r="E1" s="514"/>
      <c r="F1" s="514"/>
      <c r="G1" s="514"/>
      <c r="H1" s="514"/>
      <c r="I1" s="514"/>
      <c r="J1" s="514"/>
      <c r="K1" s="514"/>
      <c r="L1" s="515"/>
    </row>
    <row r="2" spans="1:12">
      <c r="A2" s="516" t="s">
        <v>195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8"/>
    </row>
    <row r="3" spans="1:12">
      <c r="A3" s="516" t="s">
        <v>196</v>
      </c>
      <c r="B3" s="517"/>
      <c r="C3" s="517"/>
      <c r="D3" s="517"/>
      <c r="E3" s="517"/>
      <c r="F3" s="517"/>
      <c r="G3" s="517"/>
      <c r="H3" s="517"/>
      <c r="I3" s="517"/>
      <c r="J3" s="517"/>
      <c r="K3" s="517"/>
      <c r="L3" s="518"/>
    </row>
    <row r="4" spans="1:12">
      <c r="A4" s="519" t="s">
        <v>197</v>
      </c>
      <c r="B4" s="520"/>
      <c r="C4" s="520"/>
      <c r="D4" s="520"/>
      <c r="E4" s="520"/>
      <c r="F4" s="520"/>
      <c r="G4" s="520"/>
      <c r="H4" s="520"/>
      <c r="I4" s="520"/>
      <c r="J4" s="520"/>
      <c r="K4" s="520"/>
      <c r="L4" s="521"/>
    </row>
    <row r="5" spans="1:12">
      <c r="A5" s="522" t="s">
        <v>198</v>
      </c>
      <c r="B5" s="523"/>
      <c r="C5" s="523"/>
      <c r="D5" s="523"/>
      <c r="E5" s="523"/>
      <c r="F5" s="523"/>
      <c r="G5" s="523"/>
      <c r="H5" s="523"/>
      <c r="I5" s="523"/>
      <c r="J5" s="523"/>
      <c r="K5" s="523"/>
      <c r="L5" s="524"/>
    </row>
    <row r="6" spans="1:12" ht="33" customHeight="1">
      <c r="A6" s="525" t="s">
        <v>199</v>
      </c>
      <c r="B6" s="526"/>
      <c r="C6" s="526"/>
      <c r="D6" s="526"/>
      <c r="E6" s="526"/>
      <c r="F6" s="526"/>
      <c r="G6" s="525" t="s">
        <v>200</v>
      </c>
      <c r="H6" s="525"/>
      <c r="I6" s="525"/>
      <c r="J6" s="525"/>
      <c r="K6" s="525"/>
      <c r="L6" s="525"/>
    </row>
    <row r="7" spans="1:12" ht="16.5" customHeight="1">
      <c r="A7" s="495" t="str">
        <f>'[1]Basic Profile'!D6</f>
        <v>HANUMAN SAHAY REGAR</v>
      </c>
      <c r="B7" s="496"/>
      <c r="C7" s="496"/>
      <c r="D7" s="496"/>
      <c r="E7" s="496"/>
      <c r="F7" s="497"/>
      <c r="G7" s="498" t="str">
        <f>'GA-55'!D6</f>
        <v>PARMANAND MEGHWAL</v>
      </c>
      <c r="H7" s="499"/>
      <c r="I7" s="499"/>
      <c r="J7" s="499"/>
      <c r="K7" s="499"/>
      <c r="L7" s="500"/>
    </row>
    <row r="8" spans="1:12" ht="18.95" customHeight="1">
      <c r="A8" s="501" t="str">
        <f>'[1]Basic Profile'!D8</f>
        <v>PRINCIPAL</v>
      </c>
      <c r="B8" s="502"/>
      <c r="C8" s="502"/>
      <c r="D8" s="502"/>
      <c r="E8" s="502"/>
      <c r="F8" s="503"/>
      <c r="G8" s="504" t="str">
        <f>'GA-55'!K6</f>
        <v>SR TEACHER</v>
      </c>
      <c r="H8" s="505"/>
      <c r="I8" s="505"/>
      <c r="J8" s="505"/>
      <c r="K8" s="505"/>
      <c r="L8" s="506"/>
    </row>
    <row r="9" spans="1:12">
      <c r="A9" s="507" t="str">
        <f>'GA-55'!C4</f>
        <v>GOVT SR. SEC SCHOOL DILOD HATHI, ATRU BARAN</v>
      </c>
      <c r="B9" s="508"/>
      <c r="C9" s="508"/>
      <c r="D9" s="508"/>
      <c r="E9" s="508"/>
      <c r="F9" s="509"/>
      <c r="G9" s="507" t="str">
        <f>A9</f>
        <v>GOVT SR. SEC SCHOOL DILOD HATHI, ATRU BARAN</v>
      </c>
      <c r="H9" s="508"/>
      <c r="I9" s="508"/>
      <c r="J9" s="508"/>
      <c r="K9" s="508"/>
      <c r="L9" s="509"/>
    </row>
    <row r="10" spans="1:12" ht="17.45" customHeight="1">
      <c r="A10" s="510"/>
      <c r="B10" s="511"/>
      <c r="C10" s="511"/>
      <c r="D10" s="511"/>
      <c r="E10" s="511"/>
      <c r="F10" s="512"/>
      <c r="G10" s="510"/>
      <c r="H10" s="511"/>
      <c r="I10" s="511"/>
      <c r="J10" s="511"/>
      <c r="K10" s="511"/>
      <c r="L10" s="512"/>
    </row>
    <row r="11" spans="1:12">
      <c r="A11" s="537" t="s">
        <v>201</v>
      </c>
      <c r="B11" s="536"/>
      <c r="C11" s="540"/>
      <c r="D11" s="537" t="s">
        <v>202</v>
      </c>
      <c r="E11" s="536"/>
      <c r="F11" s="540"/>
      <c r="G11" s="537" t="s">
        <v>203</v>
      </c>
      <c r="H11" s="536"/>
      <c r="I11" s="536"/>
      <c r="J11" s="536"/>
      <c r="K11" s="536"/>
      <c r="L11" s="540"/>
    </row>
    <row r="12" spans="1:12" ht="15" customHeight="1">
      <c r="A12" s="549"/>
      <c r="B12" s="550"/>
      <c r="C12" s="551"/>
      <c r="D12" s="552" t="str">
        <f>'GA-55'!U6</f>
        <v>AAAAAAAA</v>
      </c>
      <c r="E12" s="553"/>
      <c r="F12" s="554"/>
      <c r="G12" s="552" t="str">
        <f>'GA-55'!P6</f>
        <v>ASQPM6311G</v>
      </c>
      <c r="H12" s="553"/>
      <c r="I12" s="553"/>
      <c r="J12" s="553"/>
      <c r="K12" s="553"/>
      <c r="L12" s="554"/>
    </row>
    <row r="13" spans="1:12">
      <c r="A13" s="140" t="s">
        <v>204</v>
      </c>
      <c r="B13" s="141"/>
      <c r="C13" s="142"/>
      <c r="D13" s="527"/>
      <c r="E13" s="528"/>
      <c r="F13" s="529"/>
      <c r="G13" s="536" t="s">
        <v>205</v>
      </c>
      <c r="H13" s="536"/>
      <c r="I13" s="536"/>
      <c r="J13" s="537" t="s">
        <v>206</v>
      </c>
      <c r="K13" s="538"/>
      <c r="L13" s="539"/>
    </row>
    <row r="14" spans="1:12">
      <c r="A14" s="143" t="s">
        <v>207</v>
      </c>
      <c r="B14" s="144"/>
      <c r="C14" s="145"/>
      <c r="D14" s="530"/>
      <c r="E14" s="531"/>
      <c r="F14" s="532"/>
      <c r="G14" s="537" t="s">
        <v>208</v>
      </c>
      <c r="H14" s="540"/>
      <c r="I14" s="146" t="s">
        <v>209</v>
      </c>
      <c r="J14" s="541" t="s">
        <v>332</v>
      </c>
      <c r="K14" s="542"/>
      <c r="L14" s="543"/>
    </row>
    <row r="15" spans="1:12">
      <c r="A15" s="147" t="s">
        <v>210</v>
      </c>
      <c r="B15" s="148"/>
      <c r="C15" s="149"/>
      <c r="D15" s="533"/>
      <c r="E15" s="534"/>
      <c r="F15" s="535"/>
      <c r="G15" s="547" t="s">
        <v>330</v>
      </c>
      <c r="H15" s="548"/>
      <c r="I15" s="150" t="s">
        <v>331</v>
      </c>
      <c r="J15" s="544"/>
      <c r="K15" s="545"/>
      <c r="L15" s="546"/>
    </row>
    <row r="16" spans="1:12">
      <c r="A16" s="147" t="s">
        <v>211</v>
      </c>
      <c r="B16" s="148"/>
      <c r="C16" s="148"/>
      <c r="D16" s="151"/>
      <c r="E16" s="151"/>
      <c r="F16" s="151"/>
      <c r="G16" s="152"/>
      <c r="H16" s="152"/>
      <c r="I16" s="152"/>
      <c r="J16" s="152"/>
      <c r="K16" s="152"/>
      <c r="L16" s="153"/>
    </row>
    <row r="17" spans="1:12">
      <c r="A17" s="525" t="s">
        <v>212</v>
      </c>
      <c r="B17" s="525"/>
      <c r="C17" s="555" t="s">
        <v>213</v>
      </c>
      <c r="D17" s="555"/>
      <c r="E17" s="555"/>
      <c r="F17" s="556" t="s">
        <v>214</v>
      </c>
      <c r="G17" s="556"/>
      <c r="H17" s="557" t="s">
        <v>215</v>
      </c>
      <c r="I17" s="558"/>
      <c r="J17" s="559"/>
      <c r="K17" s="555" t="s">
        <v>216</v>
      </c>
      <c r="L17" s="555"/>
    </row>
    <row r="18" spans="1:12">
      <c r="A18" s="547" t="s">
        <v>217</v>
      </c>
      <c r="B18" s="548"/>
      <c r="C18" s="560"/>
      <c r="D18" s="561"/>
      <c r="E18" s="562"/>
      <c r="F18" s="563">
        <f>SUM('GA-55'!N10+'GA-55'!N11+'GA-55'!N12)</f>
        <v>198090</v>
      </c>
      <c r="G18" s="564"/>
      <c r="H18" s="560">
        <f>SUM('GA-55'!X10:X12)</f>
        <v>15000</v>
      </c>
      <c r="I18" s="561"/>
      <c r="J18" s="562"/>
      <c r="K18" s="563">
        <f>H18</f>
        <v>15000</v>
      </c>
      <c r="L18" s="565"/>
    </row>
    <row r="19" spans="1:12">
      <c r="A19" s="547" t="s">
        <v>218</v>
      </c>
      <c r="B19" s="548"/>
      <c r="C19" s="560"/>
      <c r="D19" s="561"/>
      <c r="E19" s="562"/>
      <c r="F19" s="563">
        <f>SUM('GA-55'!N13+'GA-55'!N14+'GA-55'!N15+'GA-55'!N22)</f>
        <v>207674</v>
      </c>
      <c r="G19" s="564"/>
      <c r="H19" s="560">
        <f>SUM('GA-55'!X13:X15)+'GA-55'!X22</f>
        <v>15000</v>
      </c>
      <c r="I19" s="561"/>
      <c r="J19" s="562"/>
      <c r="K19" s="563">
        <f>H19</f>
        <v>15000</v>
      </c>
      <c r="L19" s="565"/>
    </row>
    <row r="20" spans="1:12">
      <c r="A20" s="547" t="s">
        <v>219</v>
      </c>
      <c r="B20" s="548"/>
      <c r="C20" s="560"/>
      <c r="D20" s="561"/>
      <c r="E20" s="562"/>
      <c r="F20" s="563">
        <f>SUM('GA-55'!N16+'GA-55'!N17+'GA-55'!N18+'GA-55'!N25)</f>
        <v>216097</v>
      </c>
      <c r="G20" s="564"/>
      <c r="H20" s="560">
        <f>SUM('GA-55'!X16:X18)+'GA-55'!X25</f>
        <v>15000</v>
      </c>
      <c r="I20" s="561"/>
      <c r="J20" s="562"/>
      <c r="K20" s="563">
        <f>H20</f>
        <v>15000</v>
      </c>
      <c r="L20" s="564"/>
    </row>
    <row r="21" spans="1:12">
      <c r="A21" s="547" t="s">
        <v>220</v>
      </c>
      <c r="B21" s="548"/>
      <c r="C21" s="560"/>
      <c r="D21" s="561"/>
      <c r="E21" s="562"/>
      <c r="F21" s="563">
        <f>SUM('GA-55'!N19+'GA-55'!N20+'GA-55'!N21+'GA-55'!N22+'GA-55'!N24+'GA-55'!N26+'GA-55'!N227+'GA-55'!N28+'GA-55'!N29+'GA-55'!N30)</f>
        <v>248475</v>
      </c>
      <c r="G21" s="564"/>
      <c r="H21" s="560">
        <f>SUM('GA-55'!X19:X30)</f>
        <v>15000</v>
      </c>
      <c r="I21" s="561"/>
      <c r="J21" s="562"/>
      <c r="K21" s="563">
        <f>H21</f>
        <v>15000</v>
      </c>
      <c r="L21" s="564"/>
    </row>
    <row r="22" spans="1:12">
      <c r="A22" s="537" t="s">
        <v>221</v>
      </c>
      <c r="B22" s="540"/>
      <c r="C22" s="566"/>
      <c r="D22" s="567"/>
      <c r="E22" s="568"/>
      <c r="F22" s="569">
        <f>SUM(F18:F21)</f>
        <v>870336</v>
      </c>
      <c r="G22" s="570"/>
      <c r="H22" s="566">
        <f>SUM(H18:H21)</f>
        <v>60000</v>
      </c>
      <c r="I22" s="567"/>
      <c r="J22" s="568"/>
      <c r="K22" s="569">
        <f>SUM(K18:K21)</f>
        <v>60000</v>
      </c>
      <c r="L22" s="570"/>
    </row>
    <row r="23" spans="1:12">
      <c r="A23" s="578" t="s">
        <v>222</v>
      </c>
      <c r="B23" s="579"/>
      <c r="C23" s="579"/>
      <c r="D23" s="579"/>
      <c r="E23" s="580"/>
      <c r="F23" s="580"/>
      <c r="G23" s="580"/>
      <c r="H23" s="580"/>
      <c r="I23" s="580"/>
      <c r="J23" s="580"/>
      <c r="K23" s="580"/>
      <c r="L23" s="581"/>
    </row>
    <row r="24" spans="1:12">
      <c r="A24" s="154" t="s">
        <v>223</v>
      </c>
      <c r="B24" s="582" t="s">
        <v>224</v>
      </c>
      <c r="C24" s="582"/>
      <c r="D24" s="583"/>
      <c r="E24" s="584" t="s">
        <v>225</v>
      </c>
      <c r="F24" s="585"/>
      <c r="G24" s="585"/>
      <c r="H24" s="585"/>
      <c r="I24" s="586"/>
      <c r="J24" s="586"/>
      <c r="K24" s="585"/>
      <c r="L24" s="587"/>
    </row>
    <row r="25" spans="1:12">
      <c r="A25" s="155"/>
      <c r="B25" s="588" t="s">
        <v>226</v>
      </c>
      <c r="C25" s="588"/>
      <c r="D25" s="588"/>
      <c r="E25" s="589" t="s">
        <v>227</v>
      </c>
      <c r="F25" s="590"/>
      <c r="G25" s="589" t="s">
        <v>228</v>
      </c>
      <c r="H25" s="591"/>
      <c r="I25" s="589" t="s">
        <v>229</v>
      </c>
      <c r="J25" s="591"/>
      <c r="K25" s="592" t="s">
        <v>230</v>
      </c>
      <c r="L25" s="593"/>
    </row>
    <row r="26" spans="1:12">
      <c r="A26" s="155"/>
      <c r="B26" s="156"/>
      <c r="C26" s="156" t="s">
        <v>231</v>
      </c>
      <c r="D26" s="156"/>
      <c r="E26" s="595" t="s">
        <v>232</v>
      </c>
      <c r="F26" s="596"/>
      <c r="G26" s="595" t="s">
        <v>232</v>
      </c>
      <c r="H26" s="597"/>
      <c r="I26" s="595" t="s">
        <v>232</v>
      </c>
      <c r="J26" s="597"/>
      <c r="K26" s="571" t="s">
        <v>233</v>
      </c>
      <c r="L26" s="572"/>
    </row>
    <row r="27" spans="1:12">
      <c r="A27" s="157"/>
      <c r="B27" s="573"/>
      <c r="C27" s="573"/>
      <c r="D27" s="573"/>
      <c r="E27" s="158"/>
      <c r="F27" s="159"/>
      <c r="G27" s="574"/>
      <c r="H27" s="575"/>
      <c r="I27" s="576" t="s">
        <v>234</v>
      </c>
      <c r="J27" s="577"/>
      <c r="K27" s="160"/>
      <c r="L27" s="161"/>
    </row>
    <row r="28" spans="1:12">
      <c r="A28" s="146">
        <v>1</v>
      </c>
      <c r="B28" s="560">
        <f>'GA-55'!X10</f>
        <v>5000</v>
      </c>
      <c r="C28" s="561"/>
      <c r="D28" s="562"/>
      <c r="E28" s="563"/>
      <c r="F28" s="564"/>
      <c r="G28" s="560"/>
      <c r="H28" s="562"/>
      <c r="I28" s="594"/>
      <c r="J28" s="594"/>
      <c r="K28" s="162"/>
      <c r="L28" s="162"/>
    </row>
    <row r="29" spans="1:12">
      <c r="A29" s="163">
        <v>2</v>
      </c>
      <c r="B29" s="560">
        <f>'GA-55'!X11</f>
        <v>5000</v>
      </c>
      <c r="C29" s="561"/>
      <c r="D29" s="562"/>
      <c r="E29" s="563"/>
      <c r="F29" s="564"/>
      <c r="G29" s="560"/>
      <c r="H29" s="562"/>
      <c r="I29" s="594"/>
      <c r="J29" s="594"/>
      <c r="K29" s="162"/>
      <c r="L29" s="162"/>
    </row>
    <row r="30" spans="1:12">
      <c r="A30" s="163">
        <v>3</v>
      </c>
      <c r="B30" s="560">
        <f>'GA-55'!X12</f>
        <v>5000</v>
      </c>
      <c r="C30" s="561"/>
      <c r="D30" s="562"/>
      <c r="E30" s="164"/>
      <c r="F30" s="165"/>
      <c r="G30" s="166"/>
      <c r="H30" s="167"/>
      <c r="I30" s="168"/>
      <c r="J30" s="169"/>
      <c r="K30" s="162"/>
      <c r="L30" s="162"/>
    </row>
    <row r="31" spans="1:12">
      <c r="A31" s="163">
        <v>4</v>
      </c>
      <c r="B31" s="560">
        <f>'GA-55'!X13</f>
        <v>5000</v>
      </c>
      <c r="C31" s="561"/>
      <c r="D31" s="562"/>
      <c r="E31" s="164"/>
      <c r="F31" s="165"/>
      <c r="G31" s="166"/>
      <c r="H31" s="167"/>
      <c r="I31" s="166"/>
      <c r="J31" s="167"/>
      <c r="K31" s="162"/>
      <c r="L31" s="162"/>
    </row>
    <row r="32" spans="1:12">
      <c r="A32" s="163">
        <v>5</v>
      </c>
      <c r="B32" s="560">
        <f>'GA-55'!X14</f>
        <v>5000</v>
      </c>
      <c r="C32" s="561"/>
      <c r="D32" s="562"/>
      <c r="E32" s="164"/>
      <c r="F32" s="165"/>
      <c r="G32" s="166"/>
      <c r="H32" s="167"/>
      <c r="I32" s="166"/>
      <c r="J32" s="167"/>
      <c r="K32" s="162"/>
      <c r="L32" s="162"/>
    </row>
    <row r="33" spans="1:12">
      <c r="A33" s="163">
        <v>6</v>
      </c>
      <c r="B33" s="560">
        <f>'GA-55'!X15</f>
        <v>5000</v>
      </c>
      <c r="C33" s="561"/>
      <c r="D33" s="562"/>
      <c r="E33" s="164"/>
      <c r="F33" s="165"/>
      <c r="G33" s="166"/>
      <c r="H33" s="167"/>
      <c r="I33" s="166"/>
      <c r="J33" s="167"/>
      <c r="K33" s="162"/>
      <c r="L33" s="162"/>
    </row>
    <row r="34" spans="1:12">
      <c r="A34" s="163">
        <v>7</v>
      </c>
      <c r="B34" s="560">
        <f>'GA-55'!X16</f>
        <v>5000</v>
      </c>
      <c r="C34" s="561"/>
      <c r="D34" s="562"/>
      <c r="E34" s="164"/>
      <c r="F34" s="165"/>
      <c r="G34" s="166"/>
      <c r="H34" s="167"/>
      <c r="I34" s="166"/>
      <c r="J34" s="167"/>
      <c r="K34" s="162"/>
      <c r="L34" s="162"/>
    </row>
    <row r="35" spans="1:12">
      <c r="A35" s="163">
        <v>8</v>
      </c>
      <c r="B35" s="560">
        <f>'GA-55'!X17</f>
        <v>5000</v>
      </c>
      <c r="C35" s="561"/>
      <c r="D35" s="562"/>
      <c r="E35" s="164"/>
      <c r="F35" s="165"/>
      <c r="G35" s="166"/>
      <c r="H35" s="167"/>
      <c r="I35" s="166"/>
      <c r="J35" s="167"/>
      <c r="K35" s="162"/>
      <c r="L35" s="162"/>
    </row>
    <row r="36" spans="1:12">
      <c r="A36" s="163">
        <v>9</v>
      </c>
      <c r="B36" s="560">
        <f>'GA-55'!X18</f>
        <v>5000</v>
      </c>
      <c r="C36" s="561"/>
      <c r="D36" s="562"/>
      <c r="E36" s="563"/>
      <c r="F36" s="564"/>
      <c r="G36" s="560"/>
      <c r="H36" s="562"/>
      <c r="I36" s="560"/>
      <c r="J36" s="562"/>
      <c r="K36" s="162"/>
      <c r="L36" s="162"/>
    </row>
    <row r="37" spans="1:12">
      <c r="A37" s="163">
        <v>10</v>
      </c>
      <c r="B37" s="560">
        <f>'GA-55'!X19</f>
        <v>5000</v>
      </c>
      <c r="C37" s="561"/>
      <c r="D37" s="562"/>
      <c r="E37" s="563"/>
      <c r="F37" s="564"/>
      <c r="G37" s="560"/>
      <c r="H37" s="562"/>
      <c r="I37" s="560"/>
      <c r="J37" s="562"/>
      <c r="K37" s="162"/>
      <c r="L37" s="162"/>
    </row>
    <row r="38" spans="1:12">
      <c r="A38" s="163">
        <v>11</v>
      </c>
      <c r="B38" s="560">
        <f>'GA-55'!X20</f>
        <v>5000</v>
      </c>
      <c r="C38" s="561"/>
      <c r="D38" s="562"/>
      <c r="E38" s="563"/>
      <c r="F38" s="564"/>
      <c r="G38" s="560"/>
      <c r="H38" s="562"/>
      <c r="I38" s="560"/>
      <c r="J38" s="562"/>
      <c r="K38" s="162"/>
      <c r="L38" s="162"/>
    </row>
    <row r="39" spans="1:12">
      <c r="A39" s="163">
        <v>12</v>
      </c>
      <c r="B39" s="560">
        <f>'GA-55'!X21</f>
        <v>5000</v>
      </c>
      <c r="C39" s="561"/>
      <c r="D39" s="562"/>
      <c r="E39" s="563"/>
      <c r="F39" s="564"/>
      <c r="G39" s="560"/>
      <c r="H39" s="562"/>
      <c r="I39" s="598"/>
      <c r="J39" s="599"/>
      <c r="K39" s="162"/>
      <c r="L39" s="162"/>
    </row>
    <row r="40" spans="1:12">
      <c r="A40" s="163">
        <v>13</v>
      </c>
      <c r="B40" s="560">
        <f>SUM('GA-55'!X22+'GA-55'!X23+'GA-55'!X24+'GA-55'!X25+'GA-55'!X26+'GA-55'!X27+'GA-55'!X28+'GA-55'!X29+'GA-55'!X30)</f>
        <v>0</v>
      </c>
      <c r="C40" s="561"/>
      <c r="D40" s="562"/>
      <c r="E40" s="164"/>
      <c r="F40" s="165"/>
      <c r="G40" s="166"/>
      <c r="H40" s="167"/>
      <c r="I40" s="170"/>
      <c r="J40" s="171"/>
      <c r="K40" s="162"/>
      <c r="L40" s="162"/>
    </row>
    <row r="41" spans="1:12">
      <c r="A41" s="157" t="s">
        <v>235</v>
      </c>
      <c r="B41" s="560">
        <f>SUM(B28:B40)</f>
        <v>60000</v>
      </c>
      <c r="C41" s="561"/>
      <c r="D41" s="562"/>
      <c r="E41" s="563"/>
      <c r="F41" s="564"/>
      <c r="G41" s="560"/>
      <c r="H41" s="562"/>
      <c r="I41" s="594"/>
      <c r="J41" s="594"/>
      <c r="K41" s="162"/>
      <c r="L41" s="162"/>
    </row>
    <row r="42" spans="1:12">
      <c r="A42" s="147"/>
      <c r="B42" s="172"/>
      <c r="C42" s="172"/>
      <c r="D42" s="172"/>
      <c r="E42" s="173"/>
      <c r="F42" s="173"/>
      <c r="G42" s="172"/>
      <c r="H42" s="172"/>
      <c r="I42" s="152"/>
      <c r="J42" s="152"/>
      <c r="K42" s="152"/>
      <c r="L42" s="161"/>
    </row>
    <row r="43" spans="1:12">
      <c r="A43" s="578" t="s">
        <v>236</v>
      </c>
      <c r="B43" s="579"/>
      <c r="C43" s="579"/>
      <c r="D43" s="579"/>
      <c r="E43" s="580"/>
      <c r="F43" s="580"/>
      <c r="G43" s="580"/>
      <c r="H43" s="580"/>
      <c r="I43" s="580"/>
      <c r="J43" s="580"/>
      <c r="K43" s="580"/>
      <c r="L43" s="581"/>
    </row>
    <row r="44" spans="1:12">
      <c r="A44" s="154" t="s">
        <v>223</v>
      </c>
      <c r="B44" s="582" t="s">
        <v>224</v>
      </c>
      <c r="C44" s="582"/>
      <c r="D44" s="583"/>
      <c r="E44" s="584" t="s">
        <v>237</v>
      </c>
      <c r="F44" s="585"/>
      <c r="G44" s="585"/>
      <c r="H44" s="585"/>
      <c r="I44" s="586"/>
      <c r="J44" s="586"/>
      <c r="K44" s="585"/>
      <c r="L44" s="587"/>
    </row>
    <row r="45" spans="1:12">
      <c r="A45" s="155"/>
      <c r="B45" s="588" t="s">
        <v>226</v>
      </c>
      <c r="C45" s="588"/>
      <c r="D45" s="588"/>
      <c r="E45" s="589" t="s">
        <v>238</v>
      </c>
      <c r="F45" s="590"/>
      <c r="G45" s="589" t="s">
        <v>239</v>
      </c>
      <c r="H45" s="591"/>
      <c r="I45" s="589" t="s">
        <v>240</v>
      </c>
      <c r="J45" s="591"/>
      <c r="K45" s="592" t="s">
        <v>230</v>
      </c>
      <c r="L45" s="593"/>
    </row>
    <row r="46" spans="1:12">
      <c r="A46" s="155"/>
      <c r="B46" s="156"/>
      <c r="C46" s="156" t="s">
        <v>231</v>
      </c>
      <c r="D46" s="156"/>
      <c r="E46" s="595" t="s">
        <v>241</v>
      </c>
      <c r="F46" s="596"/>
      <c r="G46" s="595" t="s">
        <v>68</v>
      </c>
      <c r="H46" s="597"/>
      <c r="I46" s="595" t="s">
        <v>242</v>
      </c>
      <c r="J46" s="597"/>
      <c r="K46" s="571" t="s">
        <v>233</v>
      </c>
      <c r="L46" s="572"/>
    </row>
    <row r="47" spans="1:12">
      <c r="A47" s="157"/>
      <c r="B47" s="573"/>
      <c r="C47" s="573"/>
      <c r="D47" s="573"/>
      <c r="E47" s="158"/>
      <c r="F47" s="159"/>
      <c r="G47" s="574" t="s">
        <v>234</v>
      </c>
      <c r="H47" s="575"/>
      <c r="I47" s="576"/>
      <c r="J47" s="577"/>
      <c r="K47" s="160"/>
      <c r="L47" s="161"/>
    </row>
    <row r="48" spans="1:12">
      <c r="A48" s="146">
        <v>1</v>
      </c>
      <c r="B48" s="560"/>
      <c r="C48" s="561"/>
      <c r="D48" s="562"/>
      <c r="E48" s="174"/>
      <c r="F48" s="165"/>
      <c r="G48" s="560"/>
      <c r="H48" s="562"/>
      <c r="I48" s="600"/>
      <c r="J48" s="594"/>
      <c r="K48" s="162"/>
      <c r="L48" s="162"/>
    </row>
    <row r="49" spans="1:12">
      <c r="A49" s="163">
        <v>2</v>
      </c>
      <c r="B49" s="560"/>
      <c r="C49" s="561"/>
      <c r="D49" s="562"/>
      <c r="E49" s="174"/>
      <c r="F49" s="165"/>
      <c r="G49" s="560"/>
      <c r="H49" s="562"/>
      <c r="I49" s="600"/>
      <c r="J49" s="594"/>
      <c r="K49" s="162"/>
      <c r="L49" s="162"/>
    </row>
    <row r="50" spans="1:12">
      <c r="A50" s="163">
        <v>3</v>
      </c>
      <c r="B50" s="560"/>
      <c r="C50" s="561"/>
      <c r="D50" s="562"/>
      <c r="E50" s="174"/>
      <c r="F50" s="165"/>
      <c r="G50" s="560"/>
      <c r="H50" s="562"/>
      <c r="I50" s="602"/>
      <c r="J50" s="603"/>
      <c r="K50" s="162"/>
      <c r="L50" s="162"/>
    </row>
    <row r="51" spans="1:12">
      <c r="A51" s="163">
        <v>4</v>
      </c>
      <c r="B51" s="560"/>
      <c r="C51" s="561"/>
      <c r="D51" s="562"/>
      <c r="E51" s="174"/>
      <c r="F51" s="165"/>
      <c r="G51" s="560"/>
      <c r="H51" s="562"/>
      <c r="I51" s="601"/>
      <c r="J51" s="562"/>
      <c r="K51" s="162"/>
      <c r="L51" s="162"/>
    </row>
    <row r="52" spans="1:12">
      <c r="A52" s="163">
        <v>5</v>
      </c>
      <c r="B52" s="560"/>
      <c r="C52" s="561"/>
      <c r="D52" s="562"/>
      <c r="E52" s="174"/>
      <c r="F52" s="165"/>
      <c r="G52" s="560"/>
      <c r="H52" s="562"/>
      <c r="I52" s="601"/>
      <c r="J52" s="562"/>
      <c r="K52" s="162"/>
      <c r="L52" s="162"/>
    </row>
    <row r="53" spans="1:12">
      <c r="A53" s="163">
        <v>6</v>
      </c>
      <c r="B53" s="560"/>
      <c r="C53" s="561"/>
      <c r="D53" s="562"/>
      <c r="E53" s="174"/>
      <c r="F53" s="165"/>
      <c r="G53" s="560"/>
      <c r="H53" s="562"/>
      <c r="I53" s="601"/>
      <c r="J53" s="562"/>
      <c r="K53" s="162"/>
      <c r="L53" s="162"/>
    </row>
    <row r="54" spans="1:12">
      <c r="A54" s="163">
        <v>7</v>
      </c>
      <c r="B54" s="560"/>
      <c r="C54" s="561"/>
      <c r="D54" s="562"/>
      <c r="E54" s="174"/>
      <c r="F54" s="165"/>
      <c r="G54" s="560"/>
      <c r="H54" s="562"/>
      <c r="I54" s="601"/>
      <c r="J54" s="562"/>
      <c r="K54" s="162"/>
      <c r="L54" s="162"/>
    </row>
    <row r="55" spans="1:12">
      <c r="A55" s="163">
        <v>8</v>
      </c>
      <c r="B55" s="560"/>
      <c r="C55" s="561"/>
      <c r="D55" s="562"/>
      <c r="E55" s="174"/>
      <c r="F55" s="165"/>
      <c r="G55" s="560"/>
      <c r="H55" s="562"/>
      <c r="I55" s="601"/>
      <c r="J55" s="562"/>
      <c r="K55" s="162"/>
      <c r="L55" s="162"/>
    </row>
    <row r="56" spans="1:12">
      <c r="A56" s="163">
        <v>9</v>
      </c>
      <c r="B56" s="560"/>
      <c r="C56" s="561"/>
      <c r="D56" s="562"/>
      <c r="E56" s="174"/>
      <c r="F56" s="165"/>
      <c r="G56" s="560"/>
      <c r="H56" s="562"/>
      <c r="I56" s="601"/>
      <c r="J56" s="562"/>
      <c r="K56" s="162"/>
      <c r="L56" s="162"/>
    </row>
    <row r="57" spans="1:12">
      <c r="A57" s="163">
        <v>10</v>
      </c>
      <c r="B57" s="560"/>
      <c r="C57" s="561"/>
      <c r="D57" s="562"/>
      <c r="E57" s="174"/>
      <c r="F57" s="165"/>
      <c r="G57" s="560"/>
      <c r="H57" s="562"/>
      <c r="I57" s="601"/>
      <c r="J57" s="562"/>
      <c r="K57" s="162"/>
      <c r="L57" s="162"/>
    </row>
    <row r="58" spans="1:12">
      <c r="A58" s="163">
        <v>11</v>
      </c>
      <c r="B58" s="560"/>
      <c r="C58" s="561"/>
      <c r="D58" s="562"/>
      <c r="E58" s="174"/>
      <c r="F58" s="165"/>
      <c r="G58" s="560"/>
      <c r="H58" s="562"/>
      <c r="I58" s="601"/>
      <c r="J58" s="562"/>
      <c r="K58" s="162"/>
      <c r="L58" s="162"/>
    </row>
    <row r="59" spans="1:12">
      <c r="A59" s="163">
        <v>12</v>
      </c>
      <c r="B59" s="560"/>
      <c r="C59" s="561"/>
      <c r="D59" s="562"/>
      <c r="E59" s="174"/>
      <c r="F59" s="165"/>
      <c r="G59" s="560"/>
      <c r="H59" s="562"/>
      <c r="I59" s="601"/>
      <c r="J59" s="562"/>
      <c r="K59" s="162"/>
      <c r="L59" s="162"/>
    </row>
    <row r="60" spans="1:12">
      <c r="A60" s="163">
        <v>13</v>
      </c>
      <c r="B60" s="560"/>
      <c r="C60" s="561"/>
      <c r="D60" s="562"/>
      <c r="E60" s="174"/>
      <c r="F60" s="165"/>
      <c r="G60" s="166"/>
      <c r="H60" s="175"/>
      <c r="I60" s="176"/>
      <c r="J60" s="175"/>
      <c r="K60" s="175"/>
      <c r="L60" s="167"/>
    </row>
    <row r="61" spans="1:12">
      <c r="A61" s="177" t="s">
        <v>235</v>
      </c>
      <c r="B61" s="566">
        <f>SUM(B48:D59)</f>
        <v>0</v>
      </c>
      <c r="C61" s="567"/>
      <c r="D61" s="568"/>
      <c r="E61" s="604"/>
      <c r="F61" s="564"/>
      <c r="G61" s="560"/>
      <c r="H61" s="561"/>
      <c r="I61" s="561"/>
      <c r="J61" s="561"/>
      <c r="K61" s="561"/>
      <c r="L61" s="562"/>
    </row>
    <row r="62" spans="1:12">
      <c r="A62" s="605" t="s">
        <v>243</v>
      </c>
      <c r="B62" s="606"/>
      <c r="C62" s="606"/>
      <c r="D62" s="606"/>
      <c r="E62" s="606"/>
      <c r="F62" s="606"/>
      <c r="G62" s="606"/>
      <c r="H62" s="606"/>
      <c r="I62" s="606"/>
      <c r="J62" s="606"/>
      <c r="K62" s="606"/>
      <c r="L62" s="607"/>
    </row>
    <row r="63" spans="1:12">
      <c r="A63" s="178" t="s">
        <v>244</v>
      </c>
      <c r="B63" s="586" t="str">
        <f>A7</f>
        <v>HANUMAN SAHAY REGAR</v>
      </c>
      <c r="C63" s="586"/>
      <c r="D63" s="586"/>
      <c r="E63" s="179" t="s">
        <v>245</v>
      </c>
      <c r="F63" s="180"/>
      <c r="G63" s="561" t="s">
        <v>337</v>
      </c>
      <c r="H63" s="608"/>
      <c r="I63" s="608"/>
      <c r="J63" s="179" t="s">
        <v>246</v>
      </c>
      <c r="K63" s="180"/>
      <c r="L63" s="181"/>
    </row>
    <row r="64" spans="1:12">
      <c r="A64" s="612" t="str">
        <f>A8</f>
        <v>PRINCIPAL</v>
      </c>
      <c r="B64" s="613"/>
      <c r="C64" s="613"/>
      <c r="D64" s="182" t="s">
        <v>247</v>
      </c>
      <c r="E64" s="144"/>
      <c r="F64" s="183"/>
      <c r="G64" s="183"/>
      <c r="H64" s="183"/>
      <c r="I64" s="184">
        <f>H22</f>
        <v>60000</v>
      </c>
      <c r="J64" s="614" t="s">
        <v>248</v>
      </c>
      <c r="K64" s="614"/>
      <c r="L64" s="185"/>
    </row>
    <row r="65" spans="1:12">
      <c r="A65" s="615"/>
      <c r="B65" s="616"/>
      <c r="C65" s="616"/>
      <c r="D65" s="616"/>
      <c r="E65" s="616"/>
      <c r="F65" s="186" t="s">
        <v>249</v>
      </c>
      <c r="G65" s="187"/>
      <c r="H65" s="187"/>
      <c r="I65" s="187"/>
      <c r="J65" s="187"/>
      <c r="K65" s="187"/>
      <c r="L65" s="188"/>
    </row>
    <row r="66" spans="1:12">
      <c r="A66" s="617" t="s">
        <v>250</v>
      </c>
      <c r="B66" s="618"/>
      <c r="C66" s="618"/>
      <c r="D66" s="618"/>
      <c r="E66" s="618"/>
      <c r="F66" s="618"/>
      <c r="G66" s="618"/>
      <c r="H66" s="618"/>
      <c r="I66" s="618"/>
      <c r="J66" s="618"/>
      <c r="K66" s="618"/>
      <c r="L66" s="619"/>
    </row>
    <row r="67" spans="1:12">
      <c r="A67" s="620"/>
      <c r="B67" s="621"/>
      <c r="C67" s="621"/>
      <c r="D67" s="621"/>
      <c r="E67" s="621"/>
      <c r="F67" s="621"/>
      <c r="G67" s="621"/>
      <c r="H67" s="621"/>
      <c r="I67" s="621"/>
      <c r="J67" s="621"/>
      <c r="K67" s="621"/>
      <c r="L67" s="622"/>
    </row>
    <row r="68" spans="1:12">
      <c r="A68" s="623" t="s">
        <v>251</v>
      </c>
      <c r="B68" s="624"/>
      <c r="C68" s="189"/>
      <c r="D68" s="189"/>
      <c r="E68" s="189"/>
      <c r="F68" s="189"/>
      <c r="G68" s="189"/>
      <c r="H68" s="189"/>
      <c r="I68" s="189"/>
      <c r="J68" s="189"/>
      <c r="K68" s="189"/>
      <c r="L68" s="190"/>
    </row>
    <row r="69" spans="1:12">
      <c r="A69" s="609" t="s">
        <v>252</v>
      </c>
      <c r="B69" s="610"/>
      <c r="C69" s="610"/>
      <c r="D69" s="610"/>
      <c r="E69" s="610"/>
      <c r="F69" s="610"/>
      <c r="G69" s="610"/>
      <c r="H69" s="610"/>
      <c r="I69" s="610"/>
      <c r="J69" s="610"/>
      <c r="K69" s="610"/>
      <c r="L69" s="611"/>
    </row>
    <row r="70" spans="1:12">
      <c r="A70" s="609" t="s">
        <v>253</v>
      </c>
      <c r="B70" s="610"/>
      <c r="C70" s="610"/>
      <c r="D70" s="610"/>
      <c r="E70" s="610"/>
      <c r="F70" s="610"/>
      <c r="G70" s="610"/>
      <c r="H70" s="610"/>
      <c r="I70" s="610"/>
      <c r="J70" s="610"/>
      <c r="K70" s="610"/>
      <c r="L70" s="611"/>
    </row>
    <row r="71" spans="1:12">
      <c r="A71" s="609" t="s">
        <v>254</v>
      </c>
      <c r="B71" s="610"/>
      <c r="C71" s="610"/>
      <c r="D71" s="610"/>
      <c r="E71" s="610"/>
      <c r="F71" s="610"/>
      <c r="G71" s="610"/>
      <c r="H71" s="610"/>
      <c r="I71" s="610"/>
      <c r="J71" s="610"/>
      <c r="K71" s="610"/>
      <c r="L71" s="611"/>
    </row>
    <row r="72" spans="1:12">
      <c r="A72" s="609" t="s">
        <v>255</v>
      </c>
      <c r="B72" s="610"/>
      <c r="C72" s="610"/>
      <c r="D72" s="610"/>
      <c r="E72" s="610"/>
      <c r="F72" s="610"/>
      <c r="G72" s="610"/>
      <c r="H72" s="610"/>
      <c r="I72" s="610"/>
      <c r="J72" s="610"/>
      <c r="K72" s="610"/>
      <c r="L72" s="611"/>
    </row>
    <row r="73" spans="1:12">
      <c r="A73" s="609" t="s">
        <v>256</v>
      </c>
      <c r="B73" s="610"/>
      <c r="C73" s="610"/>
      <c r="D73" s="610"/>
      <c r="E73" s="610"/>
      <c r="F73" s="610"/>
      <c r="G73" s="610"/>
      <c r="H73" s="191"/>
      <c r="I73" s="191"/>
      <c r="J73" s="191"/>
      <c r="K73" s="191"/>
      <c r="L73" s="192"/>
    </row>
    <row r="74" spans="1:12">
      <c r="A74" s="609" t="s">
        <v>257</v>
      </c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1"/>
    </row>
    <row r="75" spans="1:12">
      <c r="A75" s="609" t="s">
        <v>258</v>
      </c>
      <c r="B75" s="610"/>
      <c r="C75" s="610"/>
      <c r="D75" s="610"/>
      <c r="E75" s="610"/>
      <c r="F75" s="610"/>
      <c r="G75" s="610"/>
      <c r="H75" s="610"/>
      <c r="I75" s="610"/>
      <c r="J75" s="610"/>
      <c r="K75" s="610"/>
      <c r="L75" s="611"/>
    </row>
    <row r="76" spans="1:12">
      <c r="A76" s="609" t="s">
        <v>259</v>
      </c>
      <c r="B76" s="610"/>
      <c r="C76" s="610"/>
      <c r="D76" s="610"/>
      <c r="E76" s="610"/>
      <c r="F76" s="610"/>
      <c r="G76" s="610"/>
      <c r="H76" s="610"/>
      <c r="I76" s="610"/>
      <c r="J76" s="610"/>
      <c r="K76" s="610"/>
      <c r="L76" s="611"/>
    </row>
    <row r="77" spans="1:12">
      <c r="A77" s="609" t="s">
        <v>260</v>
      </c>
      <c r="B77" s="610"/>
      <c r="C77" s="610"/>
      <c r="D77" s="610"/>
      <c r="E77" s="610"/>
      <c r="F77" s="610"/>
      <c r="G77" s="610"/>
      <c r="H77" s="610"/>
      <c r="I77" s="610"/>
      <c r="J77" s="610"/>
      <c r="K77" s="610"/>
      <c r="L77" s="611"/>
    </row>
    <row r="78" spans="1:12">
      <c r="A78" s="617" t="s">
        <v>261</v>
      </c>
      <c r="B78" s="618"/>
      <c r="C78" s="618"/>
      <c r="D78" s="618"/>
      <c r="E78" s="618"/>
      <c r="F78" s="618"/>
      <c r="G78" s="618"/>
      <c r="H78" s="618"/>
      <c r="I78" s="618"/>
      <c r="J78" s="618"/>
      <c r="K78" s="618"/>
      <c r="L78" s="619"/>
    </row>
    <row r="79" spans="1:12">
      <c r="A79" s="617" t="s">
        <v>262</v>
      </c>
      <c r="B79" s="618"/>
      <c r="C79" s="618"/>
      <c r="D79" s="618"/>
      <c r="E79" s="618"/>
      <c r="F79" s="144"/>
      <c r="G79" s="144"/>
      <c r="H79" s="144"/>
      <c r="I79" s="144"/>
      <c r="J79" s="144"/>
      <c r="K79" s="144"/>
      <c r="L79" s="193"/>
    </row>
    <row r="80" spans="1:12">
      <c r="A80" s="194" t="s">
        <v>263</v>
      </c>
      <c r="B80" s="144"/>
      <c r="C80" s="144"/>
      <c r="D80" s="144"/>
      <c r="E80" s="144"/>
      <c r="F80" s="191"/>
      <c r="G80" s="191"/>
      <c r="H80" s="191"/>
      <c r="I80" s="191"/>
      <c r="J80" s="191"/>
      <c r="K80" s="191"/>
      <c r="L80" s="192"/>
    </row>
    <row r="81" spans="1:12">
      <c r="A81" s="195"/>
      <c r="B81" s="196"/>
      <c r="C81" s="196"/>
      <c r="D81" s="196"/>
      <c r="E81" s="196"/>
      <c r="F81" s="196"/>
      <c r="G81" s="196"/>
      <c r="H81" s="196"/>
      <c r="I81" s="196"/>
      <c r="J81" s="196"/>
      <c r="K81" s="196"/>
      <c r="L81" s="197"/>
    </row>
    <row r="82" spans="1:12">
      <c r="A82" s="636" t="s">
        <v>264</v>
      </c>
      <c r="B82" s="637"/>
      <c r="C82" s="637"/>
      <c r="D82" s="637"/>
      <c r="E82" s="637"/>
      <c r="F82" s="637"/>
      <c r="G82" s="637"/>
      <c r="H82" s="637"/>
      <c r="I82" s="637"/>
      <c r="J82" s="637"/>
      <c r="K82" s="637"/>
      <c r="L82" s="638"/>
    </row>
    <row r="83" spans="1:12" ht="15.75">
      <c r="A83" s="639" t="s">
        <v>265</v>
      </c>
      <c r="B83" s="640"/>
      <c r="C83" s="640"/>
      <c r="D83" s="640"/>
      <c r="E83" s="640"/>
      <c r="F83" s="640"/>
      <c r="G83" s="640"/>
      <c r="H83" s="640"/>
      <c r="I83" s="640"/>
      <c r="J83" s="641"/>
      <c r="K83" s="641"/>
      <c r="L83" s="642"/>
    </row>
    <row r="84" spans="1:12" ht="15">
      <c r="A84" s="198" t="s">
        <v>266</v>
      </c>
      <c r="B84" s="199"/>
      <c r="C84" s="200"/>
      <c r="D84" s="200"/>
      <c r="E84" s="200"/>
      <c r="F84" s="200"/>
      <c r="G84" s="200"/>
      <c r="H84" s="200"/>
      <c r="I84" s="201"/>
      <c r="J84" s="200"/>
      <c r="K84" s="200"/>
      <c r="L84" s="201"/>
    </row>
    <row r="85" spans="1:12">
      <c r="A85" s="202"/>
      <c r="B85" s="203" t="s">
        <v>267</v>
      </c>
      <c r="C85" s="203"/>
      <c r="D85" s="203"/>
      <c r="E85" s="203"/>
      <c r="F85" s="203"/>
      <c r="G85" s="200"/>
      <c r="H85" s="200"/>
      <c r="I85" s="201">
        <f>'Tax Old Regime'!Q4</f>
        <v>871899</v>
      </c>
      <c r="J85" s="200"/>
      <c r="K85" s="204"/>
      <c r="L85" s="205"/>
    </row>
    <row r="86" spans="1:12">
      <c r="A86" s="202"/>
      <c r="B86" s="203" t="s">
        <v>268</v>
      </c>
      <c r="C86" s="203"/>
      <c r="D86" s="203"/>
      <c r="E86" s="203"/>
      <c r="F86" s="203"/>
      <c r="G86" s="200"/>
      <c r="H86" s="200"/>
      <c r="I86" s="201"/>
      <c r="J86" s="202"/>
      <c r="K86" s="204"/>
      <c r="L86" s="205"/>
    </row>
    <row r="87" spans="1:12">
      <c r="A87" s="202"/>
      <c r="B87" s="203" t="s">
        <v>269</v>
      </c>
      <c r="C87" s="203"/>
      <c r="D87" s="203"/>
      <c r="E87" s="203"/>
      <c r="F87" s="203"/>
      <c r="G87" s="200"/>
      <c r="H87" s="200"/>
      <c r="I87" s="201"/>
      <c r="J87" s="202"/>
      <c r="K87" s="204"/>
      <c r="L87" s="205"/>
    </row>
    <row r="88" spans="1:12">
      <c r="A88" s="202"/>
      <c r="B88" s="203" t="s">
        <v>270</v>
      </c>
      <c r="C88" s="203"/>
      <c r="D88" s="203"/>
      <c r="E88" s="203"/>
      <c r="F88" s="203"/>
      <c r="G88" s="200"/>
      <c r="H88" s="200"/>
      <c r="I88" s="201"/>
      <c r="J88" s="202"/>
      <c r="K88" s="204"/>
      <c r="L88" s="205"/>
    </row>
    <row r="89" spans="1:12">
      <c r="A89" s="202"/>
      <c r="B89" s="203" t="s">
        <v>269</v>
      </c>
      <c r="C89" s="203"/>
      <c r="D89" s="203"/>
      <c r="E89" s="203"/>
      <c r="F89" s="203"/>
      <c r="G89" s="200"/>
      <c r="H89" s="200"/>
      <c r="I89" s="201"/>
      <c r="J89" s="202"/>
      <c r="K89" s="204"/>
      <c r="L89" s="205"/>
    </row>
    <row r="90" spans="1:12">
      <c r="A90" s="202"/>
      <c r="B90" s="203" t="s">
        <v>271</v>
      </c>
      <c r="C90" s="203"/>
      <c r="D90" s="203"/>
      <c r="E90" s="203"/>
      <c r="F90" s="203"/>
      <c r="G90" s="200"/>
      <c r="H90" s="200"/>
      <c r="I90" s="202"/>
      <c r="J90" s="625">
        <f>I85+I86+I87+I88+I89</f>
        <v>871899</v>
      </c>
      <c r="K90" s="626"/>
      <c r="L90" s="205"/>
    </row>
    <row r="91" spans="1:12">
      <c r="A91" s="202"/>
      <c r="B91" s="200"/>
      <c r="C91" s="200"/>
      <c r="D91" s="200"/>
      <c r="E91" s="200"/>
      <c r="F91" s="200"/>
      <c r="G91" s="200"/>
      <c r="H91" s="200"/>
      <c r="I91" s="202"/>
      <c r="J91" s="202"/>
      <c r="K91" s="204"/>
      <c r="L91" s="205"/>
    </row>
    <row r="92" spans="1:12">
      <c r="A92" s="198" t="s">
        <v>272</v>
      </c>
      <c r="B92" s="200"/>
      <c r="C92" s="200"/>
      <c r="D92" s="200"/>
      <c r="E92" s="200"/>
      <c r="F92" s="200"/>
      <c r="G92" s="200"/>
      <c r="H92" s="200"/>
      <c r="I92" s="202"/>
      <c r="J92" s="202"/>
      <c r="K92" s="204"/>
      <c r="L92" s="205"/>
    </row>
    <row r="93" spans="1:12">
      <c r="A93" s="627" t="s">
        <v>273</v>
      </c>
      <c r="B93" s="628"/>
      <c r="C93" s="628"/>
      <c r="D93" s="628"/>
      <c r="E93" s="628"/>
      <c r="F93" s="628"/>
      <c r="G93" s="628"/>
      <c r="H93" s="206"/>
      <c r="I93" s="201">
        <f>'Tax Old Regime'!Q5</f>
        <v>0</v>
      </c>
      <c r="J93" s="202"/>
      <c r="K93" s="204"/>
      <c r="L93" s="205"/>
    </row>
    <row r="94" spans="1:12">
      <c r="A94" s="627" t="s">
        <v>274</v>
      </c>
      <c r="B94" s="628"/>
      <c r="C94" s="628"/>
      <c r="D94" s="628"/>
      <c r="E94" s="628"/>
      <c r="F94" s="628"/>
      <c r="G94" s="628"/>
      <c r="H94" s="206"/>
      <c r="I94" s="201"/>
      <c r="J94" s="202"/>
      <c r="K94" s="204"/>
      <c r="L94" s="205"/>
    </row>
    <row r="95" spans="1:12">
      <c r="A95" s="198" t="s">
        <v>275</v>
      </c>
      <c r="B95" s="200"/>
      <c r="C95" s="200"/>
      <c r="D95" s="200"/>
      <c r="E95" s="200"/>
      <c r="F95" s="200"/>
      <c r="G95" s="200"/>
      <c r="H95" s="200"/>
      <c r="I95" s="202"/>
      <c r="J95" s="625">
        <f>J90-I93-I94</f>
        <v>871899</v>
      </c>
      <c r="K95" s="626"/>
      <c r="L95" s="205"/>
    </row>
    <row r="96" spans="1:12">
      <c r="A96" s="202"/>
      <c r="B96" s="200"/>
      <c r="C96" s="200"/>
      <c r="D96" s="200"/>
      <c r="E96" s="200"/>
      <c r="F96" s="200"/>
      <c r="G96" s="200"/>
      <c r="H96" s="200"/>
      <c r="I96" s="202"/>
      <c r="J96" s="202"/>
      <c r="K96" s="204"/>
      <c r="L96" s="205"/>
    </row>
    <row r="97" spans="1:12">
      <c r="A97" s="198" t="s">
        <v>276</v>
      </c>
      <c r="B97" s="200"/>
      <c r="C97" s="200"/>
      <c r="D97" s="200"/>
      <c r="E97" s="200"/>
      <c r="F97" s="200"/>
      <c r="G97" s="200"/>
      <c r="H97" s="200"/>
      <c r="I97" s="202"/>
      <c r="J97" s="202"/>
      <c r="K97" s="204"/>
      <c r="L97" s="205"/>
    </row>
    <row r="98" spans="1:12">
      <c r="A98" s="202"/>
      <c r="B98" s="203" t="s">
        <v>277</v>
      </c>
      <c r="C98" s="203"/>
      <c r="D98" s="203"/>
      <c r="E98" s="203"/>
      <c r="F98" s="203" t="s">
        <v>278</v>
      </c>
      <c r="G98" s="207">
        <v>50000</v>
      </c>
      <c r="H98" s="208"/>
      <c r="I98" s="202"/>
      <c r="J98" s="202"/>
      <c r="K98" s="204"/>
      <c r="L98" s="205"/>
    </row>
    <row r="99" spans="1:12">
      <c r="A99" s="202"/>
      <c r="B99" s="203" t="s">
        <v>279</v>
      </c>
      <c r="C99" s="203"/>
      <c r="D99" s="203"/>
      <c r="E99" s="203"/>
      <c r="F99" s="203" t="s">
        <v>278</v>
      </c>
      <c r="G99" s="203">
        <v>0</v>
      </c>
      <c r="H99" s="203"/>
      <c r="I99" s="202"/>
      <c r="J99" s="202"/>
      <c r="K99" s="204"/>
      <c r="L99" s="205"/>
    </row>
    <row r="100" spans="1:12">
      <c r="A100" s="202"/>
      <c r="B100" s="203" t="s">
        <v>280</v>
      </c>
      <c r="C100" s="203"/>
      <c r="D100" s="203"/>
      <c r="E100" s="203"/>
      <c r="F100" s="203" t="s">
        <v>278</v>
      </c>
      <c r="G100" s="203">
        <v>0</v>
      </c>
      <c r="H100" s="203"/>
      <c r="I100" s="202"/>
      <c r="J100" s="202"/>
      <c r="K100" s="204"/>
      <c r="L100" s="205"/>
    </row>
    <row r="101" spans="1:12">
      <c r="A101" s="198" t="s">
        <v>281</v>
      </c>
      <c r="B101" s="200"/>
      <c r="C101" s="200"/>
      <c r="D101" s="200"/>
      <c r="E101" s="200"/>
      <c r="F101" s="200"/>
      <c r="G101" s="200"/>
      <c r="H101" s="200"/>
      <c r="I101" s="209">
        <v>50000</v>
      </c>
      <c r="J101" s="202"/>
      <c r="K101" s="204"/>
      <c r="L101" s="205"/>
    </row>
    <row r="102" spans="1:12">
      <c r="A102" s="202"/>
      <c r="B102" s="200"/>
      <c r="C102" s="200"/>
      <c r="D102" s="200"/>
      <c r="E102" s="200"/>
      <c r="F102" s="200"/>
      <c r="G102" s="200"/>
      <c r="H102" s="200"/>
      <c r="I102" s="202"/>
      <c r="J102" s="202"/>
      <c r="K102" s="204"/>
      <c r="L102" s="205"/>
    </row>
    <row r="103" spans="1:12">
      <c r="A103" s="198" t="s">
        <v>282</v>
      </c>
      <c r="B103" s="200"/>
      <c r="C103" s="200"/>
      <c r="D103" s="200"/>
      <c r="E103" s="200"/>
      <c r="F103" s="200"/>
      <c r="G103" s="200"/>
      <c r="H103" s="200"/>
      <c r="I103" s="202"/>
      <c r="J103" s="202"/>
      <c r="K103" s="204"/>
      <c r="L103" s="210">
        <f>IF(AND((J95&gt;50000)),(J95-I101),0)</f>
        <v>821899</v>
      </c>
    </row>
    <row r="104" spans="1:12">
      <c r="A104" s="198"/>
      <c r="B104" s="200"/>
      <c r="C104" s="200"/>
      <c r="D104" s="200"/>
      <c r="E104" s="200"/>
      <c r="F104" s="200"/>
      <c r="G104" s="200"/>
      <c r="H104" s="200"/>
      <c r="I104" s="202"/>
      <c r="J104" s="202"/>
      <c r="K104" s="204"/>
      <c r="L104" s="211"/>
    </row>
    <row r="105" spans="1:12">
      <c r="A105" s="198" t="s">
        <v>283</v>
      </c>
      <c r="B105" s="200"/>
      <c r="C105" s="200"/>
      <c r="D105" s="200"/>
      <c r="E105" s="200"/>
      <c r="F105" s="200"/>
      <c r="G105" s="200"/>
      <c r="H105" s="200"/>
      <c r="I105" s="202"/>
      <c r="J105" s="202"/>
      <c r="K105" s="204"/>
      <c r="L105" s="211"/>
    </row>
    <row r="106" spans="1:12">
      <c r="A106" s="198"/>
      <c r="B106" s="200" t="s">
        <v>284</v>
      </c>
      <c r="C106" s="200"/>
      <c r="D106" s="200"/>
      <c r="E106" s="200"/>
      <c r="F106" s="200"/>
      <c r="G106" s="200"/>
      <c r="H106" s="200"/>
      <c r="I106" s="202"/>
      <c r="J106" s="202"/>
      <c r="K106" s="204"/>
      <c r="L106" s="211">
        <f>'[1]Other Deduction'!B9</f>
        <v>0</v>
      </c>
    </row>
    <row r="107" spans="1:12">
      <c r="A107" s="198"/>
      <c r="B107" s="200"/>
      <c r="C107" s="200"/>
      <c r="D107" s="200"/>
      <c r="E107" s="200"/>
      <c r="F107" s="200"/>
      <c r="G107" s="200"/>
      <c r="H107" s="200"/>
      <c r="I107" s="202"/>
      <c r="J107" s="202"/>
      <c r="K107" s="204"/>
      <c r="L107" s="211"/>
    </row>
    <row r="108" spans="1:12">
      <c r="A108" s="198" t="s">
        <v>285</v>
      </c>
      <c r="B108" s="200"/>
      <c r="C108" s="200"/>
      <c r="D108" s="200"/>
      <c r="E108" s="200"/>
      <c r="F108" s="200"/>
      <c r="G108" s="200"/>
      <c r="H108" s="200"/>
      <c r="I108" s="202"/>
      <c r="J108" s="209"/>
      <c r="K108" s="204"/>
      <c r="L108" s="212">
        <f>L103+L105-L106</f>
        <v>821899</v>
      </c>
    </row>
    <row r="109" spans="1:12">
      <c r="A109" s="213"/>
      <c r="B109" s="214"/>
      <c r="C109" s="214"/>
      <c r="D109" s="214"/>
      <c r="E109" s="214"/>
      <c r="F109" s="214"/>
      <c r="G109" s="629" t="s">
        <v>286</v>
      </c>
      <c r="H109" s="630"/>
      <c r="I109" s="629" t="s">
        <v>287</v>
      </c>
      <c r="J109" s="630"/>
      <c r="K109" s="633" t="s">
        <v>288</v>
      </c>
      <c r="L109" s="633"/>
    </row>
    <row r="110" spans="1:12">
      <c r="A110" s="634" t="s">
        <v>289</v>
      </c>
      <c r="B110" s="635"/>
      <c r="C110" s="635"/>
      <c r="D110" s="635"/>
      <c r="E110" s="200"/>
      <c r="F110" s="204"/>
      <c r="G110" s="631"/>
      <c r="H110" s="632"/>
      <c r="I110" s="631"/>
      <c r="J110" s="632"/>
      <c r="K110" s="633"/>
      <c r="L110" s="633"/>
    </row>
    <row r="111" spans="1:12">
      <c r="A111" s="215" t="s">
        <v>290</v>
      </c>
      <c r="B111" s="206" t="s">
        <v>291</v>
      </c>
      <c r="C111" s="206"/>
      <c r="D111" s="200"/>
      <c r="E111" s="200"/>
      <c r="F111" s="216"/>
      <c r="G111" s="631"/>
      <c r="H111" s="632"/>
      <c r="I111" s="631"/>
      <c r="J111" s="632"/>
      <c r="K111" s="633"/>
      <c r="L111" s="633"/>
    </row>
    <row r="112" spans="1:12">
      <c r="A112" s="217" t="s">
        <v>292</v>
      </c>
      <c r="B112" s="200" t="s">
        <v>293</v>
      </c>
      <c r="C112" s="200"/>
      <c r="D112" s="200"/>
      <c r="E112" s="200"/>
      <c r="F112" s="204"/>
      <c r="G112" s="625"/>
      <c r="H112" s="626"/>
      <c r="I112" s="625"/>
      <c r="J112" s="626"/>
      <c r="K112" s="625"/>
      <c r="L112" s="626"/>
    </row>
    <row r="113" spans="1:12">
      <c r="A113" s="217"/>
      <c r="B113" s="218" t="s">
        <v>36</v>
      </c>
      <c r="C113" s="643" t="s">
        <v>294</v>
      </c>
      <c r="D113" s="643"/>
      <c r="E113" s="643"/>
      <c r="F113" s="219" t="s">
        <v>278</v>
      </c>
      <c r="G113" s="644">
        <f>'GA-55'!O31</f>
        <v>45827</v>
      </c>
      <c r="H113" s="644"/>
      <c r="I113" s="644">
        <f t="shared" ref="I113:I120" si="0">G113</f>
        <v>45827</v>
      </c>
      <c r="J113" s="644"/>
      <c r="K113" s="644">
        <f t="shared" ref="K113:K120" si="1">I113</f>
        <v>45827</v>
      </c>
      <c r="L113" s="644"/>
    </row>
    <row r="114" spans="1:12">
      <c r="A114" s="217"/>
      <c r="B114" s="218" t="s">
        <v>38</v>
      </c>
      <c r="C114" s="643" t="s">
        <v>295</v>
      </c>
      <c r="D114" s="643"/>
      <c r="E114" s="643"/>
      <c r="F114" s="219" t="s">
        <v>278</v>
      </c>
      <c r="G114" s="644">
        <f>'Tax Old Regime'!I21</f>
        <v>36000</v>
      </c>
      <c r="H114" s="644"/>
      <c r="I114" s="644">
        <f t="shared" si="0"/>
        <v>36000</v>
      </c>
      <c r="J114" s="644"/>
      <c r="K114" s="644">
        <f t="shared" si="1"/>
        <v>36000</v>
      </c>
      <c r="L114" s="644"/>
    </row>
    <row r="115" spans="1:12">
      <c r="A115" s="217"/>
      <c r="B115" s="218" t="s">
        <v>41</v>
      </c>
      <c r="C115" s="643" t="s">
        <v>6</v>
      </c>
      <c r="D115" s="643"/>
      <c r="E115" s="643"/>
      <c r="F115" s="219" t="s">
        <v>278</v>
      </c>
      <c r="G115" s="644"/>
      <c r="H115" s="644"/>
      <c r="I115" s="644">
        <f t="shared" si="0"/>
        <v>0</v>
      </c>
      <c r="J115" s="644"/>
      <c r="K115" s="644">
        <f t="shared" si="1"/>
        <v>0</v>
      </c>
      <c r="L115" s="644"/>
    </row>
    <row r="116" spans="1:12">
      <c r="A116" s="217"/>
      <c r="B116" s="218" t="s">
        <v>43</v>
      </c>
      <c r="C116" s="643" t="s">
        <v>296</v>
      </c>
      <c r="D116" s="643"/>
      <c r="E116" s="643"/>
      <c r="F116" s="219" t="s">
        <v>278</v>
      </c>
      <c r="G116" s="644">
        <f>'Tax Old Regime'!I27</f>
        <v>0</v>
      </c>
      <c r="H116" s="644"/>
      <c r="I116" s="644">
        <f t="shared" si="0"/>
        <v>0</v>
      </c>
      <c r="J116" s="644"/>
      <c r="K116" s="644">
        <f t="shared" si="1"/>
        <v>0</v>
      </c>
      <c r="L116" s="644"/>
    </row>
    <row r="117" spans="1:12">
      <c r="A117" s="217"/>
      <c r="B117" s="218" t="s">
        <v>47</v>
      </c>
      <c r="C117" s="220" t="s">
        <v>297</v>
      </c>
      <c r="D117" s="220"/>
      <c r="E117" s="220"/>
      <c r="F117" s="219" t="s">
        <v>278</v>
      </c>
      <c r="G117" s="644">
        <f>'Tax Old Regime'!I29</f>
        <v>0</v>
      </c>
      <c r="H117" s="644"/>
      <c r="I117" s="644">
        <f t="shared" si="0"/>
        <v>0</v>
      </c>
      <c r="J117" s="644"/>
      <c r="K117" s="563">
        <f t="shared" si="1"/>
        <v>0</v>
      </c>
      <c r="L117" s="564"/>
    </row>
    <row r="118" spans="1:12">
      <c r="A118" s="217"/>
      <c r="B118" s="218" t="s">
        <v>49</v>
      </c>
      <c r="C118" s="643" t="s">
        <v>298</v>
      </c>
      <c r="D118" s="643"/>
      <c r="E118" s="643"/>
      <c r="F118" s="219" t="s">
        <v>278</v>
      </c>
      <c r="G118" s="644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88907</v>
      </c>
      <c r="H118" s="644"/>
      <c r="I118" s="644">
        <f t="shared" si="0"/>
        <v>88907</v>
      </c>
      <c r="J118" s="644"/>
      <c r="K118" s="644">
        <f t="shared" si="1"/>
        <v>88907</v>
      </c>
      <c r="L118" s="644"/>
    </row>
    <row r="119" spans="1:12">
      <c r="A119" s="217" t="s">
        <v>299</v>
      </c>
      <c r="B119" s="218" t="s">
        <v>300</v>
      </c>
      <c r="C119" s="218"/>
      <c r="D119" s="218"/>
      <c r="E119" s="218"/>
      <c r="F119" s="219" t="s">
        <v>278</v>
      </c>
      <c r="G119" s="644"/>
      <c r="H119" s="644"/>
      <c r="I119" s="644">
        <f t="shared" si="0"/>
        <v>0</v>
      </c>
      <c r="J119" s="644"/>
      <c r="K119" s="644">
        <f t="shared" si="1"/>
        <v>0</v>
      </c>
      <c r="L119" s="644"/>
    </row>
    <row r="120" spans="1:12">
      <c r="A120" s="217" t="s">
        <v>301</v>
      </c>
      <c r="B120" s="218" t="s">
        <v>302</v>
      </c>
      <c r="C120" s="218"/>
      <c r="D120" s="218"/>
      <c r="E120" s="218"/>
      <c r="F120" s="219" t="s">
        <v>278</v>
      </c>
      <c r="G120" s="644"/>
      <c r="H120" s="644"/>
      <c r="I120" s="644">
        <f t="shared" si="0"/>
        <v>0</v>
      </c>
      <c r="J120" s="644"/>
      <c r="K120" s="644">
        <f t="shared" si="1"/>
        <v>0</v>
      </c>
      <c r="L120" s="644"/>
    </row>
    <row r="121" spans="1:12" ht="20.25" customHeight="1" thickBot="1">
      <c r="A121" s="198" t="s">
        <v>303</v>
      </c>
      <c r="B121" s="218"/>
      <c r="C121" s="218"/>
      <c r="D121" s="218"/>
      <c r="E121" s="218"/>
      <c r="F121" s="218"/>
      <c r="G121" s="645">
        <f>SUM(G113:G120)</f>
        <v>170734</v>
      </c>
      <c r="H121" s="646"/>
      <c r="I121" s="645">
        <f>SUM(I113:I120)</f>
        <v>170734</v>
      </c>
      <c r="J121" s="647"/>
      <c r="K121" s="648">
        <f>IF(SUM(K113:L118)&gt;150000,150000,SUM(K113:L118))</f>
        <v>150000</v>
      </c>
      <c r="L121" s="649"/>
    </row>
    <row r="122" spans="1:12">
      <c r="A122" s="198" t="s">
        <v>304</v>
      </c>
      <c r="B122" s="200"/>
      <c r="C122" s="200"/>
      <c r="D122" s="200"/>
      <c r="E122" s="200"/>
      <c r="F122" s="204"/>
      <c r="G122" s="221"/>
      <c r="H122" s="222"/>
      <c r="I122" s="223"/>
      <c r="J122" s="222"/>
      <c r="K122" s="223"/>
      <c r="L122" s="204"/>
    </row>
    <row r="123" spans="1:12">
      <c r="A123" s="198"/>
      <c r="B123" s="200"/>
      <c r="C123" s="200"/>
      <c r="D123" s="200"/>
      <c r="E123" s="200"/>
      <c r="F123" s="204"/>
      <c r="G123" s="221"/>
      <c r="H123" s="222"/>
      <c r="I123" s="223"/>
      <c r="J123" s="222"/>
      <c r="K123" s="223"/>
      <c r="L123" s="204"/>
    </row>
    <row r="124" spans="1:12">
      <c r="A124" s="224" t="s">
        <v>305</v>
      </c>
      <c r="B124" s="225" t="s">
        <v>306</v>
      </c>
      <c r="C124" s="225"/>
      <c r="D124" s="225"/>
      <c r="E124" s="225"/>
      <c r="F124" s="226" t="s">
        <v>278</v>
      </c>
      <c r="G124" s="650">
        <v>0</v>
      </c>
      <c r="H124" s="650"/>
      <c r="I124" s="650">
        <f>G124</f>
        <v>0</v>
      </c>
      <c r="J124" s="650"/>
      <c r="K124" s="650">
        <f>I124</f>
        <v>0</v>
      </c>
      <c r="L124" s="650"/>
    </row>
    <row r="125" spans="1:12">
      <c r="A125" s="224" t="s">
        <v>307</v>
      </c>
      <c r="B125" s="225" t="s">
        <v>308</v>
      </c>
      <c r="C125" s="225"/>
      <c r="D125" s="225"/>
      <c r="E125" s="225"/>
      <c r="F125" s="226" t="s">
        <v>278</v>
      </c>
      <c r="G125" s="650">
        <f>'[1]Tax Old Regime'!Q33</f>
        <v>0</v>
      </c>
      <c r="H125" s="650"/>
      <c r="I125" s="650">
        <f>G125</f>
        <v>0</v>
      </c>
      <c r="J125" s="650"/>
      <c r="K125" s="650">
        <f>I125</f>
        <v>0</v>
      </c>
      <c r="L125" s="650"/>
    </row>
    <row r="126" spans="1:12">
      <c r="A126" s="227"/>
      <c r="B126" s="228"/>
      <c r="C126" s="228"/>
      <c r="D126" s="228"/>
      <c r="E126" s="228"/>
      <c r="F126" s="228"/>
      <c r="G126" s="173"/>
      <c r="H126" s="173"/>
      <c r="I126" s="173"/>
      <c r="J126" s="173"/>
      <c r="K126" s="229"/>
      <c r="L126" s="222"/>
    </row>
    <row r="127" spans="1:12">
      <c r="A127" s="230" t="s">
        <v>309</v>
      </c>
      <c r="B127" s="200" t="s">
        <v>310</v>
      </c>
      <c r="C127" s="200"/>
      <c r="D127" s="200"/>
      <c r="E127" s="200"/>
      <c r="F127" s="200"/>
      <c r="G127" s="221"/>
      <c r="H127" s="223"/>
      <c r="I127" s="221"/>
      <c r="J127" s="231"/>
      <c r="K127" s="223"/>
      <c r="L127" s="231"/>
    </row>
    <row r="128" spans="1:12" ht="20.45" customHeight="1">
      <c r="A128" s="215"/>
      <c r="B128" s="200"/>
      <c r="C128" s="200"/>
      <c r="D128" s="200"/>
      <c r="E128" s="200"/>
      <c r="F128" s="200"/>
      <c r="G128" s="232" t="s">
        <v>286</v>
      </c>
      <c r="H128" s="233"/>
      <c r="I128" s="654" t="s">
        <v>287</v>
      </c>
      <c r="J128" s="655"/>
      <c r="K128" s="654" t="s">
        <v>288</v>
      </c>
      <c r="L128" s="655"/>
    </row>
    <row r="129" spans="1:12" ht="15.75">
      <c r="A129" s="215"/>
      <c r="B129" s="200" t="s">
        <v>36</v>
      </c>
      <c r="C129" s="656" t="s">
        <v>311</v>
      </c>
      <c r="D129" s="656"/>
      <c r="E129" s="656"/>
      <c r="F129" s="218" t="s">
        <v>278</v>
      </c>
      <c r="G129" s="652">
        <f>SUM('[1]Tax Old Regime'!Q36:Q43)</f>
        <v>0</v>
      </c>
      <c r="H129" s="653"/>
      <c r="I129" s="652">
        <f>G129</f>
        <v>0</v>
      </c>
      <c r="J129" s="653"/>
      <c r="K129" s="652">
        <f>I129</f>
        <v>0</v>
      </c>
      <c r="L129" s="653"/>
    </row>
    <row r="130" spans="1:12">
      <c r="A130" s="215"/>
      <c r="B130" s="200" t="s">
        <v>38</v>
      </c>
      <c r="C130" s="651"/>
      <c r="D130" s="651"/>
      <c r="E130" s="651"/>
      <c r="F130" s="218" t="s">
        <v>278</v>
      </c>
      <c r="G130" s="652"/>
      <c r="H130" s="653"/>
      <c r="I130" s="652">
        <f>G130</f>
        <v>0</v>
      </c>
      <c r="J130" s="653"/>
      <c r="K130" s="652">
        <f>I130</f>
        <v>0</v>
      </c>
      <c r="L130" s="653"/>
    </row>
    <row r="131" spans="1:12">
      <c r="A131" s="215"/>
      <c r="B131" s="200" t="s">
        <v>41</v>
      </c>
      <c r="C131" s="651"/>
      <c r="D131" s="651"/>
      <c r="E131" s="651"/>
      <c r="F131" s="218" t="s">
        <v>278</v>
      </c>
      <c r="G131" s="652"/>
      <c r="H131" s="653"/>
      <c r="I131" s="652">
        <f>G131</f>
        <v>0</v>
      </c>
      <c r="J131" s="653"/>
      <c r="K131" s="652">
        <f>I131</f>
        <v>0</v>
      </c>
      <c r="L131" s="653"/>
    </row>
    <row r="132" spans="1:12">
      <c r="A132" s="234" t="s">
        <v>312</v>
      </c>
      <c r="B132" s="200"/>
      <c r="C132" s="200"/>
      <c r="D132" s="200"/>
      <c r="E132" s="200"/>
      <c r="F132" s="204"/>
      <c r="G132" s="625"/>
      <c r="H132" s="626"/>
      <c r="I132" s="625"/>
      <c r="J132" s="626"/>
      <c r="K132" s="625">
        <f>K121+K124+K125+K129+K130+K131</f>
        <v>150000</v>
      </c>
      <c r="L132" s="626">
        <v>0</v>
      </c>
    </row>
    <row r="133" spans="1:12">
      <c r="A133" s="198"/>
      <c r="B133" s="200"/>
      <c r="C133" s="200"/>
      <c r="D133" s="200"/>
      <c r="E133" s="200"/>
      <c r="F133" s="204"/>
      <c r="G133" s="202"/>
      <c r="H133" s="204"/>
      <c r="I133" s="202"/>
      <c r="J133" s="204"/>
      <c r="K133" s="625"/>
      <c r="L133" s="626"/>
    </row>
    <row r="134" spans="1:12" ht="15.75">
      <c r="A134" s="198" t="s">
        <v>313</v>
      </c>
      <c r="B134" s="200"/>
      <c r="C134" s="200"/>
      <c r="D134" s="200"/>
      <c r="E134" s="200"/>
      <c r="F134" s="204"/>
      <c r="G134" s="202"/>
      <c r="H134" s="204"/>
      <c r="I134" s="202"/>
      <c r="J134" s="204"/>
      <c r="K134" s="657">
        <f>'Tax Old Regime'!Q47</f>
        <v>732990</v>
      </c>
      <c r="L134" s="658"/>
    </row>
    <row r="135" spans="1:12">
      <c r="A135" s="198"/>
      <c r="B135" s="200"/>
      <c r="C135" s="200"/>
      <c r="D135" s="200"/>
      <c r="E135" s="200"/>
      <c r="F135" s="204"/>
      <c r="G135" s="202"/>
      <c r="H135" s="204"/>
      <c r="I135" s="202"/>
      <c r="J135" s="204"/>
      <c r="K135" s="200"/>
      <c r="L135" s="222"/>
    </row>
    <row r="136" spans="1:12" ht="14.45" customHeight="1">
      <c r="A136" s="235" t="s">
        <v>314</v>
      </c>
      <c r="B136" s="200"/>
      <c r="C136" s="200"/>
      <c r="D136" s="200"/>
      <c r="E136" s="200"/>
      <c r="F136" s="204"/>
      <c r="G136" s="202"/>
      <c r="H136" s="204"/>
      <c r="I136" s="202"/>
      <c r="J136" s="204"/>
      <c r="K136" s="634">
        <f>'Tax Old Regime'!Q54</f>
        <v>59098</v>
      </c>
      <c r="L136" s="659"/>
    </row>
    <row r="137" spans="1:12">
      <c r="A137" s="236" t="s">
        <v>315</v>
      </c>
      <c r="B137" s="200"/>
      <c r="C137" s="200"/>
      <c r="D137" s="206"/>
      <c r="E137" s="206"/>
      <c r="F137" s="206"/>
      <c r="G137" s="237"/>
      <c r="H137" s="238"/>
      <c r="I137" s="200"/>
      <c r="J137" s="204"/>
      <c r="K137" s="625">
        <f>'[1]Tax Old Regime'!Q55</f>
        <v>0</v>
      </c>
      <c r="L137" s="626"/>
    </row>
    <row r="138" spans="1:12">
      <c r="A138" s="198" t="s">
        <v>316</v>
      </c>
      <c r="B138" s="200"/>
      <c r="C138" s="200"/>
      <c r="D138" s="200"/>
      <c r="E138" s="200"/>
      <c r="F138" s="200"/>
      <c r="G138" s="202"/>
      <c r="H138" s="204"/>
      <c r="I138" s="200"/>
      <c r="J138" s="204"/>
      <c r="K138" s="625">
        <f>K136-K137</f>
        <v>59098</v>
      </c>
      <c r="L138" s="626"/>
    </row>
    <row r="139" spans="1:12">
      <c r="A139" s="198" t="s">
        <v>317</v>
      </c>
      <c r="B139" s="200"/>
      <c r="C139" s="200"/>
      <c r="D139" s="200"/>
      <c r="E139" s="200"/>
      <c r="F139" s="200"/>
      <c r="G139" s="202"/>
      <c r="H139" s="204"/>
      <c r="I139" s="200"/>
      <c r="J139" s="204"/>
      <c r="K139" s="625">
        <f>'Tax Old Regime'!Q57</f>
        <v>2364</v>
      </c>
      <c r="L139" s="626"/>
    </row>
    <row r="140" spans="1:12">
      <c r="A140" s="198" t="s">
        <v>318</v>
      </c>
      <c r="B140" s="200"/>
      <c r="C140" s="200"/>
      <c r="D140" s="200"/>
      <c r="E140" s="200"/>
      <c r="F140" s="200"/>
      <c r="G140" s="202"/>
      <c r="H140" s="204"/>
      <c r="I140" s="200"/>
      <c r="J140" s="204"/>
      <c r="K140" s="625">
        <f>'Tax Old Regime'!Q58</f>
        <v>61462</v>
      </c>
      <c r="L140" s="626"/>
    </row>
    <row r="141" spans="1:12">
      <c r="A141" s="198" t="s">
        <v>319</v>
      </c>
      <c r="B141" s="200"/>
      <c r="C141" s="200"/>
      <c r="D141" s="200"/>
      <c r="E141" s="200"/>
      <c r="F141" s="200"/>
      <c r="G141" s="202"/>
      <c r="H141" s="204"/>
      <c r="I141" s="200"/>
      <c r="J141" s="204"/>
      <c r="K141" s="625">
        <f>'Other Deduction'!E17</f>
        <v>0</v>
      </c>
      <c r="L141" s="626"/>
    </row>
    <row r="142" spans="1:12">
      <c r="A142" s="198" t="s">
        <v>320</v>
      </c>
      <c r="B142" s="200"/>
      <c r="C142" s="200"/>
      <c r="D142" s="200"/>
      <c r="E142" s="200"/>
      <c r="F142" s="200"/>
      <c r="G142" s="202"/>
      <c r="H142" s="204"/>
      <c r="I142" s="200"/>
      <c r="J142" s="204"/>
      <c r="K142" s="625">
        <f>'Tax Old Regime'!Q60</f>
        <v>61462</v>
      </c>
      <c r="L142" s="626"/>
    </row>
    <row r="143" spans="1:12">
      <c r="A143" s="198" t="s">
        <v>321</v>
      </c>
      <c r="B143" s="200"/>
      <c r="C143" s="200"/>
      <c r="D143" s="200"/>
      <c r="E143" s="200"/>
      <c r="F143" s="200"/>
      <c r="G143" s="202"/>
      <c r="H143" s="204"/>
      <c r="I143" s="200"/>
      <c r="J143" s="204"/>
      <c r="K143" s="625">
        <f>H22+B61</f>
        <v>60000</v>
      </c>
      <c r="L143" s="626"/>
    </row>
    <row r="144" spans="1:12">
      <c r="A144" s="198" t="s">
        <v>322</v>
      </c>
      <c r="B144" s="200"/>
      <c r="C144" s="200"/>
      <c r="D144" s="200"/>
      <c r="E144" s="206"/>
      <c r="F144" s="206"/>
      <c r="G144" s="237"/>
      <c r="H144" s="238"/>
      <c r="I144" s="200"/>
      <c r="J144" s="226"/>
      <c r="K144" s="668">
        <f>K142-K143</f>
        <v>1462</v>
      </c>
      <c r="L144" s="669"/>
    </row>
    <row r="145" spans="1:12">
      <c r="A145" s="605" t="s">
        <v>243</v>
      </c>
      <c r="B145" s="606"/>
      <c r="C145" s="606"/>
      <c r="D145" s="606"/>
      <c r="E145" s="606"/>
      <c r="F145" s="606"/>
      <c r="G145" s="606"/>
      <c r="H145" s="606"/>
      <c r="I145" s="606"/>
      <c r="J145" s="606"/>
      <c r="K145" s="606"/>
      <c r="L145" s="670"/>
    </row>
    <row r="146" spans="1:12">
      <c r="A146" s="178" t="s">
        <v>244</v>
      </c>
      <c r="B146" s="586" t="str">
        <f>B63</f>
        <v>HANUMAN SAHAY REGAR</v>
      </c>
      <c r="C146" s="586"/>
      <c r="D146" s="586"/>
      <c r="E146" s="179" t="s">
        <v>245</v>
      </c>
      <c r="F146" s="180"/>
      <c r="G146" s="671" t="str">
        <f>G63</f>
        <v>Gulla Ram</v>
      </c>
      <c r="H146" s="672"/>
      <c r="I146" s="672"/>
      <c r="J146" s="179" t="s">
        <v>246</v>
      </c>
      <c r="K146" s="180"/>
      <c r="L146" s="181"/>
    </row>
    <row r="147" spans="1:12">
      <c r="A147" s="612" t="str">
        <f>A64</f>
        <v>PRINCIPAL</v>
      </c>
      <c r="B147" s="613"/>
      <c r="C147" s="613"/>
      <c r="D147" s="182" t="s">
        <v>323</v>
      </c>
      <c r="E147" s="144"/>
      <c r="F147" s="183"/>
      <c r="G147" s="183"/>
      <c r="H147" s="183"/>
      <c r="I147" s="182"/>
      <c r="J147" s="239"/>
      <c r="K147" s="183"/>
      <c r="L147" s="240"/>
    </row>
    <row r="148" spans="1:12">
      <c r="A148" s="617" t="s">
        <v>324</v>
      </c>
      <c r="B148" s="618"/>
      <c r="C148" s="618"/>
      <c r="D148" s="618"/>
      <c r="E148" s="618"/>
      <c r="F148" s="618"/>
      <c r="G148" s="618"/>
      <c r="H148" s="618"/>
      <c r="I148" s="618"/>
      <c r="J148" s="618"/>
      <c r="K148" s="618"/>
      <c r="L148" s="619"/>
    </row>
    <row r="149" spans="1:12">
      <c r="A149" s="241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3"/>
    </row>
    <row r="150" spans="1:12">
      <c r="A150" s="202"/>
      <c r="B150" s="200"/>
      <c r="C150" s="200"/>
      <c r="D150" s="200"/>
      <c r="E150" s="200"/>
      <c r="F150" s="200"/>
      <c r="G150" s="200"/>
      <c r="H150" s="200"/>
      <c r="I150" s="200"/>
      <c r="J150" s="200"/>
      <c r="K150" s="200"/>
      <c r="L150" s="204"/>
    </row>
    <row r="151" spans="1:12">
      <c r="A151" s="202"/>
      <c r="B151" s="200"/>
      <c r="C151" s="200"/>
      <c r="D151" s="200"/>
      <c r="E151" s="200"/>
      <c r="F151" s="200"/>
      <c r="G151" s="200"/>
      <c r="H151" s="200"/>
      <c r="I151" s="200"/>
      <c r="J151" s="200"/>
      <c r="K151" s="200"/>
      <c r="L151" s="204"/>
    </row>
    <row r="152" spans="1:12">
      <c r="A152" s="202"/>
      <c r="B152" s="200"/>
      <c r="C152" s="200"/>
      <c r="D152" s="200"/>
      <c r="E152" s="200"/>
      <c r="F152" s="200"/>
      <c r="G152" s="144"/>
      <c r="H152" s="144"/>
      <c r="I152" s="235"/>
      <c r="J152" s="200"/>
      <c r="K152" s="200"/>
      <c r="L152" s="204"/>
    </row>
    <row r="153" spans="1:12">
      <c r="A153" s="202"/>
      <c r="B153" s="200"/>
      <c r="C153" s="200"/>
      <c r="D153" s="200"/>
      <c r="E153" s="200"/>
      <c r="F153" s="662" t="s">
        <v>325</v>
      </c>
      <c r="G153" s="662"/>
      <c r="H153" s="662"/>
      <c r="I153" s="662"/>
      <c r="J153" s="662"/>
      <c r="K153" s="662"/>
      <c r="L153" s="626"/>
    </row>
    <row r="154" spans="1:12">
      <c r="A154" s="202"/>
      <c r="B154" s="200"/>
      <c r="C154" s="200"/>
      <c r="D154" s="200"/>
      <c r="E154" s="200"/>
      <c r="F154" s="663"/>
      <c r="G154" s="663"/>
      <c r="H154" s="663"/>
      <c r="I154" s="663"/>
      <c r="J154" s="663"/>
      <c r="K154" s="663"/>
      <c r="L154" s="664"/>
    </row>
    <row r="155" spans="1:12">
      <c r="A155" s="665" t="s">
        <v>326</v>
      </c>
      <c r="B155" s="666"/>
      <c r="C155" s="666"/>
      <c r="D155" s="218"/>
      <c r="E155" s="218"/>
      <c r="F155" s="244" t="s">
        <v>327</v>
      </c>
      <c r="G155" s="244"/>
      <c r="H155" s="667" t="str">
        <f>A7</f>
        <v>HANUMAN SAHAY REGAR</v>
      </c>
      <c r="I155" s="667"/>
      <c r="J155" s="667"/>
      <c r="K155" s="667"/>
      <c r="L155" s="653"/>
    </row>
    <row r="156" spans="1:12">
      <c r="A156" s="665" t="s">
        <v>328</v>
      </c>
      <c r="B156" s="666"/>
      <c r="C156" s="666"/>
      <c r="D156" s="218"/>
      <c r="E156" s="218"/>
      <c r="F156" s="244" t="s">
        <v>329</v>
      </c>
      <c r="G156" s="244"/>
      <c r="H156" s="667" t="str">
        <f>A8</f>
        <v>PRINCIPAL</v>
      </c>
      <c r="I156" s="667"/>
      <c r="J156" s="667"/>
      <c r="K156" s="667"/>
      <c r="L156" s="653"/>
    </row>
    <row r="157" spans="1:12">
      <c r="A157" s="245"/>
      <c r="B157" s="246"/>
      <c r="C157" s="246"/>
      <c r="D157" s="246"/>
      <c r="E157" s="246"/>
      <c r="F157" s="660"/>
      <c r="G157" s="660"/>
      <c r="H157" s="660"/>
      <c r="I157" s="660"/>
      <c r="J157" s="660"/>
      <c r="K157" s="660"/>
      <c r="L157" s="661"/>
    </row>
  </sheetData>
  <sheetProtection password="FC12" sheet="1" objects="1" scenarios="1"/>
  <mergeCells count="270"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GA-55</vt:lpstr>
      <vt:lpstr>Other Deduction</vt:lpstr>
      <vt:lpstr>Tax Old Regime</vt:lpstr>
      <vt:lpstr>Tax New Regime</vt:lpstr>
      <vt:lpstr>Form 16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Aryan Computers</cp:lastModifiedBy>
  <cp:lastPrinted>2022-12-09T08:32:43Z</cp:lastPrinted>
  <dcterms:created xsi:type="dcterms:W3CDTF">2013-12-06T08:14:36Z</dcterms:created>
  <dcterms:modified xsi:type="dcterms:W3CDTF">2022-12-11T16:45:56Z</dcterms:modified>
</cp:coreProperties>
</file>