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Tax Calculation (New)" sheetId="8" r:id="rId4"/>
    <sheet name="HRA Receipt" sheetId="9" r:id="rId5"/>
  </sheets>
  <definedNames>
    <definedName name="_xlnm._FilterDatabase" localSheetId="0" hidden="1">'Master Data'!$A$8:$AG$34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Data'!$AJ$10:$AJ$13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Data'!$AM$14:$AM$36</definedName>
    <definedName name="_xlnm.Print_Area" localSheetId="4">'HRA Receipt'!$A$1:$J$24</definedName>
    <definedName name="_xlnm.Print_Area" localSheetId="0">'Master Data'!$C$8:$AF$41</definedName>
    <definedName name="_xlnm.Print_Area" localSheetId="3">'Tax Calculation (New)'!$A$1:$R$69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Data'!$AG:$XFD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Data'!$C$8:$AF$39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Data'!$952:$1048576,'Master Data'!$40:$951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Data'!$AG:$XFD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Data'!$C$8:$AF$39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Data'!$952:$1048576,'Master Data'!$40:$951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J14" i="2"/>
  <c r="O14"/>
  <c r="P14"/>
  <c r="O13"/>
  <c r="F34"/>
  <c r="G34"/>
  <c r="K34"/>
  <c r="L34"/>
  <c r="M34"/>
  <c r="Q34"/>
  <c r="R34"/>
  <c r="S34"/>
  <c r="T34"/>
  <c r="V34"/>
  <c r="W34"/>
  <c r="X34"/>
  <c r="Y34"/>
  <c r="AB34"/>
  <c r="P12"/>
  <c r="P30"/>
  <c r="P31"/>
  <c r="P32"/>
  <c r="P33"/>
  <c r="O30"/>
  <c r="O31"/>
  <c r="O32"/>
  <c r="O33"/>
  <c r="O12"/>
  <c r="AD32" l="1"/>
  <c r="AD30"/>
  <c r="AD31"/>
  <c r="J30"/>
  <c r="J31"/>
  <c r="J32"/>
  <c r="J33"/>
  <c r="I13"/>
  <c r="J8" i="9"/>
  <c r="D29" i="2"/>
  <c r="P3" i="8"/>
  <c r="L3"/>
  <c r="P3" i="3"/>
  <c r="L3"/>
  <c r="Q33"/>
  <c r="C16" i="9" l="1"/>
  <c r="C9"/>
  <c r="G8"/>
  <c r="AB22" i="2" l="1"/>
  <c r="AC13"/>
  <c r="D13" l="1"/>
  <c r="U13"/>
  <c r="Q39" i="8"/>
  <c r="S15" i="2"/>
  <c r="D14"/>
  <c r="H14" l="1"/>
  <c r="H13"/>
  <c r="U14"/>
  <c r="H25"/>
  <c r="H26"/>
  <c r="I14"/>
  <c r="AA29"/>
  <c r="O26" l="1"/>
  <c r="P26"/>
  <c r="J26"/>
  <c r="J25"/>
  <c r="O25"/>
  <c r="P25"/>
  <c r="P13"/>
  <c r="AD29"/>
  <c r="AA34"/>
  <c r="J13"/>
  <c r="N29"/>
  <c r="AD13" l="1"/>
  <c r="AD25"/>
  <c r="AD26"/>
  <c r="L22"/>
  <c r="Q62" i="8" l="1"/>
  <c r="Q43"/>
  <c r="Q42"/>
  <c r="Q41"/>
  <c r="Q38"/>
  <c r="Q37"/>
  <c r="Q36"/>
  <c r="Q33"/>
  <c r="O28"/>
  <c r="O27"/>
  <c r="I27"/>
  <c r="O26"/>
  <c r="I26"/>
  <c r="O25"/>
  <c r="O24"/>
  <c r="I24"/>
  <c r="O23"/>
  <c r="I23"/>
  <c r="O22"/>
  <c r="I22"/>
  <c r="O21"/>
  <c r="Q16"/>
  <c r="K13"/>
  <c r="M11"/>
  <c r="M8"/>
  <c r="M7"/>
  <c r="E3"/>
  <c r="B1"/>
  <c r="E13" l="1"/>
  <c r="A2" i="1"/>
  <c r="Q42" i="3"/>
  <c r="Q59"/>
  <c r="Q39"/>
  <c r="Q38"/>
  <c r="Q37"/>
  <c r="Q36"/>
  <c r="Q43"/>
  <c r="Q41"/>
  <c r="O25"/>
  <c r="O24"/>
  <c r="O21"/>
  <c r="N33" i="2"/>
  <c r="Z33" s="1"/>
  <c r="N30"/>
  <c r="Q16" i="3"/>
  <c r="M8"/>
  <c r="I26"/>
  <c r="AC33" i="2"/>
  <c r="K15"/>
  <c r="AD33" l="1"/>
  <c r="Z34"/>
  <c r="M13" i="8"/>
  <c r="Q14"/>
  <c r="N26" i="2"/>
  <c r="AA33"/>
  <c r="O62" i="3"/>
  <c r="O65" i="8"/>
  <c r="AE31" i="2"/>
  <c r="AE32"/>
  <c r="O28" i="3"/>
  <c r="L14" i="2"/>
  <c r="L16" s="1"/>
  <c r="L17" l="1"/>
  <c r="L18" s="1"/>
  <c r="L19" s="1"/>
  <c r="L20" s="1"/>
  <c r="L21" s="1"/>
  <c r="L23" s="1"/>
  <c r="L24" s="1"/>
  <c r="AE26"/>
  <c r="AE33"/>
  <c r="AE29"/>
  <c r="O27" i="3"/>
  <c r="I24"/>
  <c r="Y14" i="2"/>
  <c r="X14"/>
  <c r="I29" i="3" l="1"/>
  <c r="I29" i="8"/>
  <c r="N25" i="2" l="1"/>
  <c r="Y15"/>
  <c r="X15"/>
  <c r="V14"/>
  <c r="AD14" s="1"/>
  <c r="T14"/>
  <c r="Q14"/>
  <c r="M7" i="3"/>
  <c r="O26"/>
  <c r="O23"/>
  <c r="O22"/>
  <c r="I27"/>
  <c r="I23"/>
  <c r="I22"/>
  <c r="K13"/>
  <c r="M11"/>
  <c r="E13" s="1"/>
  <c r="Q5"/>
  <c r="E3"/>
  <c r="B1"/>
  <c r="K16" i="2"/>
  <c r="K17" s="1"/>
  <c r="K18" s="1"/>
  <c r="K19" s="1"/>
  <c r="K20" s="1"/>
  <c r="K21" s="1"/>
  <c r="K22" s="1"/>
  <c r="K23" s="1"/>
  <c r="K24" s="1"/>
  <c r="K14"/>
  <c r="M14"/>
  <c r="G14"/>
  <c r="F14"/>
  <c r="E14"/>
  <c r="E15"/>
  <c r="E16"/>
  <c r="E17"/>
  <c r="E18"/>
  <c r="E19"/>
  <c r="E20"/>
  <c r="E21"/>
  <c r="E22"/>
  <c r="E23"/>
  <c r="E24"/>
  <c r="E34" l="1"/>
  <c r="AE25"/>
  <c r="G15"/>
  <c r="G16" s="1"/>
  <c r="G17" s="1"/>
  <c r="G18" s="1"/>
  <c r="G19" s="1"/>
  <c r="G20" s="1"/>
  <c r="G21" s="1"/>
  <c r="G22" s="1"/>
  <c r="G23" s="1"/>
  <c r="G24" s="1"/>
  <c r="T15"/>
  <c r="T16" s="1"/>
  <c r="T17" s="1"/>
  <c r="T18" s="1"/>
  <c r="T19" s="1"/>
  <c r="T20" s="1"/>
  <c r="T21" s="1"/>
  <c r="T22" s="1"/>
  <c r="T23" s="1"/>
  <c r="T24" s="1"/>
  <c r="R15"/>
  <c r="F15"/>
  <c r="F16" s="1"/>
  <c r="F17" s="1"/>
  <c r="F18" s="1"/>
  <c r="F19" s="1"/>
  <c r="F20" s="1"/>
  <c r="F21" s="1"/>
  <c r="F22" s="1"/>
  <c r="F23" s="1"/>
  <c r="F24" s="1"/>
  <c r="M15"/>
  <c r="M17" s="1"/>
  <c r="M18" s="1"/>
  <c r="M19" s="1"/>
  <c r="M20" s="1"/>
  <c r="M21" s="1"/>
  <c r="M22" s="1"/>
  <c r="M23" s="1"/>
  <c r="M24" s="1"/>
  <c r="Q15"/>
  <c r="Q16" s="1"/>
  <c r="Q17" s="1"/>
  <c r="Q18" s="1"/>
  <c r="Q19" s="1"/>
  <c r="Q20" s="1"/>
  <c r="Q21" s="1"/>
  <c r="Q22" s="1"/>
  <c r="Q23" s="1"/>
  <c r="Q24" s="1"/>
  <c r="V15"/>
  <c r="V16" s="1"/>
  <c r="V17" s="1"/>
  <c r="V18" s="1"/>
  <c r="V19" s="1"/>
  <c r="V20" s="1"/>
  <c r="V21" s="1"/>
  <c r="V22" s="1"/>
  <c r="V23" s="1"/>
  <c r="V24" s="1"/>
  <c r="D15"/>
  <c r="AE30"/>
  <c r="Y16"/>
  <c r="Y17" s="1"/>
  <c r="Y18" s="1"/>
  <c r="Y19" s="1"/>
  <c r="Y20" s="1"/>
  <c r="Y21" s="1"/>
  <c r="Y22" s="1"/>
  <c r="Y23" s="1"/>
  <c r="Y24" s="1"/>
  <c r="X16"/>
  <c r="X17" s="1"/>
  <c r="X18" s="1"/>
  <c r="X19" s="1"/>
  <c r="X20" s="1"/>
  <c r="X21" s="1"/>
  <c r="X22" s="1"/>
  <c r="X23" s="1"/>
  <c r="X24" s="1"/>
  <c r="N13"/>
  <c r="R16" l="1"/>
  <c r="R17" s="1"/>
  <c r="R18" s="1"/>
  <c r="R19" s="1"/>
  <c r="R20" s="1"/>
  <c r="R21" s="1"/>
  <c r="R22" s="1"/>
  <c r="R23" s="1"/>
  <c r="R24" s="1"/>
  <c r="I15"/>
  <c r="U15"/>
  <c r="Z14"/>
  <c r="H15"/>
  <c r="D16"/>
  <c r="N14"/>
  <c r="H13" i="3"/>
  <c r="P15" i="2" l="1"/>
  <c r="O15"/>
  <c r="U16"/>
  <c r="J15"/>
  <c r="AE14"/>
  <c r="Z15"/>
  <c r="I28" i="3"/>
  <c r="I28" i="8"/>
  <c r="I21" i="3"/>
  <c r="I21" i="8"/>
  <c r="H16" i="2"/>
  <c r="P16" s="1"/>
  <c r="D17"/>
  <c r="I16"/>
  <c r="M13" i="3"/>
  <c r="Q14" s="1"/>
  <c r="AD15" i="2" l="1"/>
  <c r="N15"/>
  <c r="U17"/>
  <c r="I20" i="3"/>
  <c r="I20" i="8"/>
  <c r="O16" i="2"/>
  <c r="J16"/>
  <c r="N16" s="1"/>
  <c r="Z16"/>
  <c r="H17"/>
  <c r="P17" s="1"/>
  <c r="I17"/>
  <c r="D18"/>
  <c r="AE15" l="1"/>
  <c r="AD16"/>
  <c r="U18"/>
  <c r="O17"/>
  <c r="AD17" s="1"/>
  <c r="J17"/>
  <c r="N17" s="1"/>
  <c r="Z17"/>
  <c r="H18"/>
  <c r="P18" s="1"/>
  <c r="I18"/>
  <c r="AE16"/>
  <c r="D19"/>
  <c r="O18" l="1"/>
  <c r="AD18" s="1"/>
  <c r="U19"/>
  <c r="J18"/>
  <c r="N18" s="1"/>
  <c r="Z18"/>
  <c r="H19"/>
  <c r="P19" s="1"/>
  <c r="I19"/>
  <c r="AE17"/>
  <c r="D20"/>
  <c r="AC19" l="1"/>
  <c r="U20"/>
  <c r="O19"/>
  <c r="J19"/>
  <c r="N19" s="1"/>
  <c r="Z19"/>
  <c r="H20"/>
  <c r="P20" s="1"/>
  <c r="AE18"/>
  <c r="I20"/>
  <c r="AC20" s="1"/>
  <c r="D21"/>
  <c r="O20" l="1"/>
  <c r="AC34"/>
  <c r="J20"/>
  <c r="N20" s="1"/>
  <c r="AD20" s="1"/>
  <c r="AD19"/>
  <c r="Z20"/>
  <c r="F65" i="8"/>
  <c r="F62" i="3"/>
  <c r="U21" i="2"/>
  <c r="D28"/>
  <c r="H21"/>
  <c r="O21" s="1"/>
  <c r="I21"/>
  <c r="AE13"/>
  <c r="D22"/>
  <c r="AE19" l="1"/>
  <c r="U22"/>
  <c r="J21"/>
  <c r="N21" s="1"/>
  <c r="P21"/>
  <c r="AD21" s="1"/>
  <c r="Z21"/>
  <c r="H28"/>
  <c r="AE20"/>
  <c r="H22"/>
  <c r="P22" s="1"/>
  <c r="I22"/>
  <c r="D23"/>
  <c r="O22" l="1"/>
  <c r="AD22" s="1"/>
  <c r="U23"/>
  <c r="N28"/>
  <c r="J22"/>
  <c r="E12" i="1"/>
  <c r="Q40" i="3" s="1"/>
  <c r="Q44" s="1"/>
  <c r="Z22" i="2"/>
  <c r="J62" i="3" s="1"/>
  <c r="H23" i="2"/>
  <c r="P23" s="1"/>
  <c r="I23"/>
  <c r="AE21"/>
  <c r="N22"/>
  <c r="D24"/>
  <c r="D34" s="1"/>
  <c r="AD28" l="1"/>
  <c r="AE28" s="1"/>
  <c r="O23"/>
  <c r="AD23" s="1"/>
  <c r="J23"/>
  <c r="N23" s="1"/>
  <c r="Z23"/>
  <c r="J65" i="8"/>
  <c r="U24" i="2"/>
  <c r="U34" s="1"/>
  <c r="H24"/>
  <c r="O24" s="1"/>
  <c r="I24"/>
  <c r="I34" s="1"/>
  <c r="AE22"/>
  <c r="H34" l="1"/>
  <c r="O34"/>
  <c r="J24"/>
  <c r="J34" s="1"/>
  <c r="P24"/>
  <c r="P34" s="1"/>
  <c r="Z24"/>
  <c r="L65" i="8"/>
  <c r="L62" i="3"/>
  <c r="AE23" i="2"/>
  <c r="F19" i="1"/>
  <c r="AD24" i="2" l="1"/>
  <c r="AD34" s="1"/>
  <c r="I25" i="3"/>
  <c r="Q32"/>
  <c r="M65" i="8"/>
  <c r="P65" s="1"/>
  <c r="M62" i="3"/>
  <c r="F8" i="1"/>
  <c r="P62" i="3"/>
  <c r="Q32" i="8"/>
  <c r="Q34" s="1"/>
  <c r="Q45" s="1"/>
  <c r="O20"/>
  <c r="O20" i="3"/>
  <c r="I25" i="8"/>
  <c r="N24" i="2"/>
  <c r="N34" s="1"/>
  <c r="Q4" i="3" l="1"/>
  <c r="Q4" i="8"/>
  <c r="O30" i="3"/>
  <c r="O30" i="8"/>
  <c r="AE24" i="2"/>
  <c r="AE34" s="1"/>
  <c r="Q6" i="8" l="1"/>
  <c r="Q10" s="1"/>
  <c r="Q15" s="1"/>
  <c r="Q17" s="1"/>
  <c r="Q46" s="1"/>
  <c r="Q47" s="1"/>
  <c r="F4" i="1"/>
  <c r="F17" s="1"/>
  <c r="D10" i="9" s="1"/>
  <c r="Q31" i="3"/>
  <c r="C14" i="9" l="1"/>
  <c r="E11"/>
  <c r="Q6" i="3"/>
  <c r="M9" s="1"/>
  <c r="Q9" s="1"/>
  <c r="Q10" s="1"/>
  <c r="Q15" s="1"/>
  <c r="Q17" s="1"/>
  <c r="Q53" i="8"/>
  <c r="Q54"/>
  <c r="Q51"/>
  <c r="Q55"/>
  <c r="Q52"/>
  <c r="Q56"/>
  <c r="D20" i="1"/>
  <c r="F12"/>
  <c r="A20"/>
  <c r="Q34" i="3"/>
  <c r="Q45" s="1"/>
  <c r="Q57" i="8" l="1"/>
  <c r="Q58" s="1"/>
  <c r="Q46" i="3"/>
  <c r="Q47" s="1"/>
  <c r="Q53" l="1"/>
  <c r="Q52"/>
  <c r="Q51"/>
  <c r="Q59" i="8"/>
  <c r="Q60" s="1"/>
  <c r="Q61" s="1"/>
  <c r="Q63" s="1"/>
  <c r="Q66" s="1"/>
  <c r="F6" i="1"/>
  <c r="B66" i="8" l="1"/>
  <c r="Q54" i="3"/>
  <c r="Q55" s="1"/>
  <c r="Q56" l="1"/>
  <c r="Q57" l="1"/>
  <c r="Q58" s="1"/>
  <c r="Q60" s="1"/>
  <c r="B63" l="1"/>
  <c r="A19" i="1" s="1"/>
  <c r="Q63" i="3"/>
  <c r="D19" i="1" s="1"/>
</calcChain>
</file>

<file path=xl/sharedStrings.xml><?xml version="1.0" encoding="utf-8"?>
<sst xmlns="http://schemas.openxmlformats.org/spreadsheetml/2006/main" count="501" uniqueCount="255">
  <si>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</si>
  <si>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</si>
  <si>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</si>
  <si>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</si>
  <si>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</si>
  <si>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</si>
  <si>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</si>
  <si>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</si>
  <si>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</si>
  <si>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</si>
  <si>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</si>
  <si>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</si>
  <si>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</si>
  <si>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</si>
  <si>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</si>
  <si>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</si>
  <si>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</si>
  <si>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</si>
  <si>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</si>
  <si>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</si>
  <si>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</si>
  <si>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</si>
  <si>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</si>
  <si>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</si>
  <si>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</si>
  <si>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</si>
  <si>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</si>
  <si>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</si>
  <si>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</si>
  <si>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</si>
  <si>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</si>
  <si>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</si>
  <si>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</si>
  <si>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</si>
  <si>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</si>
  <si>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</si>
  <si>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</si>
  <si>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</si>
  <si>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</si>
  <si>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</si>
  <si>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</si>
  <si>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</si>
  <si>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</si>
  <si>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</si>
  <si>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</si>
  <si>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</si>
  <si>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</si>
  <si>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</si>
  <si>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</si>
  <si>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</si>
  <si>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</si>
  <si>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</si>
  <si>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</si>
  <si>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</si>
  <si>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</si>
  <si>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</si>
  <si>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</si>
  <si>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</si>
  <si>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</si>
  <si>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</si>
  <si>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</si>
  <si>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</si>
  <si>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</si>
  <si>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</si>
  <si>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</si>
  <si>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</si>
  <si>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</si>
  <si>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</si>
  <si>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</si>
  <si>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</si>
  <si>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</si>
  <si>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</si>
  <si>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</si>
  <si>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</si>
  <si>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</si>
  <si>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</si>
  <si>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</si>
  <si>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</si>
  <si>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</si>
  <si>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</si>
  <si>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</si>
  <si>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</si>
  <si>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</si>
  <si>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</si>
  <si>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</si>
  <si>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</si>
  <si>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</si>
  <si>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</si>
  <si>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</si>
  <si>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</si>
  <si>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</si>
  <si>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</si>
  <si>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</si>
  <si>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</si>
  <si>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</si>
  <si>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</si>
  <si>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</si>
  <si>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</si>
  <si>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</si>
  <si>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</si>
  <si>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</si>
  <si>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</si>
  <si>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</si>
  <si>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</si>
  <si>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</si>
  <si>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</si>
  <si>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</si>
  <si>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</si>
  <si>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</si>
  <si>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</si>
  <si>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</si>
  <si>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</si>
  <si>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</si>
  <si>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</si>
  <si>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</si>
  <si>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</si>
  <si>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</si>
  <si>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</si>
  <si>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</si>
  <si>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</si>
  <si>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</si>
  <si>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</si>
  <si>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</si>
  <si>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</si>
  <si>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</si>
  <si>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</si>
  <si>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</si>
  <si>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</si>
  <si>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</si>
  <si>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</si>
  <si>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</si>
  <si>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</si>
  <si>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</si>
  <si>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</si>
  <si>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</si>
  <si>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</si>
  <si>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</si>
  <si>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</si>
  <si>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</si>
  <si>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</si>
  <si>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</si>
  <si>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</si>
  <si>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</si>
  <si>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</si>
  <si>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</si>
  <si>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</si>
  <si>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</si>
  <si>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</si>
  <si>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</si>
  <si>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</si>
  <si>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</si>
  <si>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</si>
  <si>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</si>
  <si>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</si>
  <si>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</si>
  <si>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</si>
  <si>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</si>
  <si>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</si>
  <si>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</si>
  <si>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</si>
  <si>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</si>
  <si>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</si>
  <si>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</si>
  <si>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</si>
  <si>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</si>
  <si>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</si>
  <si>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</si>
  <si>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</si>
  <si>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</si>
  <si>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</si>
  <si>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</si>
  <si>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</si>
  <si>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</si>
  <si>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</si>
  <si>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</si>
  <si>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</si>
  <si>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</si>
  <si>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</si>
  <si>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</si>
  <si>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</si>
  <si>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</si>
  <si>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</si>
  <si>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</si>
  <si>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</si>
  <si>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2"/>
        <rFont val="Kruti Dev 010"/>
      </rPr>
      <t>¼vf/kdre : 40]000] lhfu;j flVhtu gsrq : 100]000½</t>
    </r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</si>
  <si>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</si>
  <si>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</si>
  <si>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</si>
  <si>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</si>
  <si>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</si>
  <si>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</si>
  <si>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</si>
  <si>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</si>
  <si>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</si>
  <si>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</si>
  <si>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</si>
  <si>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</si>
  <si>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</si>
  <si>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</si>
  <si>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</si>
  <si>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</si>
  <si>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</si>
  <si>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</si>
  <si>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</si>
  <si>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</si>
  <si>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</si>
  <si>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</si>
  <si>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</si>
  <si>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</si>
  <si>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</si>
  <si>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</si>
  <si>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</si>
  <si>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</si>
  <si>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</si>
  <si>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</si>
  <si>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</si>
  <si>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</si>
  <si>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</si>
  <si>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</si>
  <si>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</si>
  <si>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</si>
  <si>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</si>
  <si>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</si>
  <si>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</si>
  <si>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</si>
  <si>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</si>
  <si>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</si>
  <si>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</si>
  <si>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</si>
  <si>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</si>
  <si>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</si>
  <si>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</si>
  <si>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</si>
  <si>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</si>
  <si>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</si>
  <si>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</si>
  <si>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</si>
  <si>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</si>
  <si>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</si>
  <si>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</si>
  <si>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</si>
  <si>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</si>
  <si>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</si>
  <si>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</si>
  <si>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</si>
  <si>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Kruti Dev 010"/>
      </rPr>
      <t>¼Lo;a]ifr@iRuh o cPpksa ds fy, : 25000] ekrk&amp;firk ds fy, : 25000]lhfu;j flVhtu : 50000½</t>
    </r>
  </si>
  <si>
    <t>PAN:</t>
  </si>
  <si>
    <t>DESIGNATION</t>
  </si>
  <si>
    <t>PARMANAND MEGHWAL</t>
  </si>
  <si>
    <t>SENIOR TEACHER</t>
  </si>
  <si>
    <t>123456789</t>
  </si>
  <si>
    <t>vk; %  o"kZ&amp;2020&amp;21 esa izkIr dqy osru ¼ dj ;ksX; lqfo/kkvksa ds eqY; lfgr ½</t>
  </si>
  <si>
    <t>Emp. C.Pen.F.</t>
  </si>
  <si>
    <t>GPF LOAN</t>
  </si>
  <si>
    <t>ABCD1122D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</si>
</sst>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9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12"/>
      <name val="Kruti Dev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9"/>
      <name val="Kruti Dev 010"/>
    </font>
    <font>
      <sz val="13"/>
      <name val="Kruti Dev 010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478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vertical="top"/>
    </xf>
    <xf numFmtId="0" fontId="79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1" fillId="26" borderId="0" xfId="37" applyFont="1" applyFill="1" applyAlignment="1"/>
    <xf numFmtId="0" fontId="76" fillId="35" borderId="0" xfId="0" applyNumberFormat="1" applyFont="1" applyFill="1" applyBorder="1" applyAlignment="1" applyProtection="1">
      <alignment vertical="center"/>
      <protection hidden="1"/>
    </xf>
    <xf numFmtId="0" fontId="80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6" fillId="34" borderId="0" xfId="0" applyNumberFormat="1" applyFont="1" applyFill="1" applyBorder="1" applyAlignment="1" applyProtection="1">
      <alignment horizontal="left" vertical="center"/>
      <protection hidden="1"/>
    </xf>
    <xf numFmtId="0" fontId="76" fillId="34" borderId="0" xfId="0" applyNumberFormat="1" applyFont="1" applyFill="1" applyBorder="1" applyAlignment="1" applyProtection="1">
      <alignment vertical="center"/>
      <protection hidden="1"/>
    </xf>
    <xf numFmtId="0" fontId="76" fillId="34" borderId="0" xfId="0" applyNumberFormat="1" applyFont="1" applyFill="1" applyBorder="1" applyAlignment="1" applyProtection="1">
      <alignment horizontal="center" vertical="center"/>
      <protection hidden="1"/>
    </xf>
    <xf numFmtId="0" fontId="80" fillId="34" borderId="0" xfId="0" applyNumberFormat="1" applyFont="1" applyFill="1" applyBorder="1" applyAlignment="1" applyProtection="1">
      <alignment vertical="center"/>
      <protection hidden="1"/>
    </xf>
    <xf numFmtId="0" fontId="80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9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8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8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8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44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0" xfId="0" applyNumberFormat="1" applyFont="1" applyFill="1" applyBorder="1" applyAlignment="1" applyProtection="1">
      <alignment horizontal="center" textRotation="90" wrapText="1"/>
    </xf>
    <xf numFmtId="0" fontId="44" fillId="0" borderId="10" xfId="0" applyNumberFormat="1" applyFont="1" applyFill="1" applyBorder="1" applyAlignment="1" applyProtection="1">
      <alignment horizontal="center" textRotation="90" wrapText="1"/>
    </xf>
    <xf numFmtId="0" fontId="44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78" fillId="37" borderId="13" xfId="0" applyNumberFormat="1" applyFont="1" applyFill="1" applyBorder="1" applyAlignment="1" applyProtection="1">
      <alignment horizontal="center"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17" fontId="34" fillId="0" borderId="10" xfId="0" applyNumberFormat="1" applyFont="1" applyBorder="1" applyAlignment="1" applyProtection="1">
      <alignment horizontal="center" vertical="center" wrapText="1"/>
      <protection locked="0"/>
    </xf>
    <xf numFmtId="0" fontId="79" fillId="0" borderId="10" xfId="0" applyNumberFormat="1" applyFont="1" applyBorder="1" applyAlignment="1" applyProtection="1">
      <alignment horizontal="center" vertical="center" textRotation="90"/>
      <protection hidden="1"/>
    </xf>
    <xf numFmtId="2" fontId="79" fillId="0" borderId="10" xfId="0" applyNumberFormat="1" applyFont="1" applyBorder="1" applyAlignment="1" applyProtection="1">
      <alignment horizontal="center" vertical="center" textRotation="90"/>
      <protection hidden="1"/>
    </xf>
    <xf numFmtId="0" fontId="78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90" fillId="37" borderId="10" xfId="0" applyFont="1" applyFill="1" applyBorder="1" applyProtection="1">
      <protection locked="0" hidden="1"/>
    </xf>
    <xf numFmtId="165" fontId="77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7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8" fillId="37" borderId="12" xfId="0" applyNumberFormat="1" applyFont="1" applyFill="1" applyBorder="1" applyAlignment="1" applyProtection="1">
      <alignment horizontal="center" vertical="top"/>
      <protection hidden="1"/>
    </xf>
    <xf numFmtId="0" fontId="78" fillId="37" borderId="14" xfId="0" applyNumberFormat="1" applyFont="1" applyFill="1" applyBorder="1" applyAlignment="1" applyProtection="1">
      <alignment horizontal="center" vertical="top"/>
      <protection hidden="1"/>
    </xf>
    <xf numFmtId="0" fontId="78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8" fillId="37" borderId="13" xfId="0" applyNumberFormat="1" applyFont="1" applyFill="1" applyBorder="1" applyAlignment="1" applyProtection="1">
      <alignment horizontal="center" vertical="top"/>
      <protection hidden="1"/>
    </xf>
    <xf numFmtId="0" fontId="78" fillId="37" borderId="13" xfId="0" applyNumberFormat="1" applyFont="1" applyFill="1" applyBorder="1" applyAlignment="1" applyProtection="1">
      <alignment horizontal="center" vertical="top"/>
      <protection locked="0" hidden="1"/>
    </xf>
    <xf numFmtId="0" fontId="78" fillId="37" borderId="14" xfId="0" applyNumberFormat="1" applyFont="1" applyFill="1" applyBorder="1" applyAlignment="1" applyProtection="1">
      <alignment horizontal="center" vertical="top"/>
      <protection locked="0" hidden="1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hidden="1"/>
    </xf>
    <xf numFmtId="0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91" fillId="0" borderId="10" xfId="0" applyNumberFormat="1" applyFont="1" applyBorder="1" applyAlignment="1" applyProtection="1">
      <alignment horizontal="center" vertical="top"/>
      <protection locked="0"/>
    </xf>
    <xf numFmtId="0" fontId="92" fillId="0" borderId="10" xfId="0" applyNumberFormat="1" applyFont="1" applyFill="1" applyBorder="1" applyAlignment="1">
      <alignment horizontal="center" vertical="center"/>
    </xf>
    <xf numFmtId="49" fontId="78" fillId="37" borderId="10" xfId="0" applyNumberFormat="1" applyFont="1" applyFill="1" applyBorder="1" applyAlignment="1" applyProtection="1">
      <alignment horizontal="left" vertical="top"/>
      <protection locked="0" hidden="1"/>
    </xf>
    <xf numFmtId="0" fontId="84" fillId="36" borderId="10" xfId="0" applyFont="1" applyFill="1" applyBorder="1" applyAlignment="1" applyProtection="1">
      <alignment horizontal="center" vertical="center"/>
      <protection hidden="1"/>
    </xf>
    <xf numFmtId="0" fontId="84" fillId="36" borderId="40" xfId="0" applyFont="1" applyFill="1" applyBorder="1" applyAlignment="1" applyProtection="1">
      <alignment horizontal="center" vertical="center"/>
      <protection hidden="1"/>
    </xf>
    <xf numFmtId="0" fontId="76" fillId="35" borderId="0" xfId="0" applyNumberFormat="1" applyFont="1" applyFill="1" applyBorder="1" applyAlignment="1" applyProtection="1">
      <alignment horizontal="left" vertical="center"/>
      <protection hidden="1"/>
    </xf>
    <xf numFmtId="0" fontId="78" fillId="37" borderId="40" xfId="0" applyNumberFormat="1" applyFont="1" applyFill="1" applyBorder="1" applyAlignment="1" applyProtection="1">
      <alignment horizontal="center" vertical="top"/>
      <protection hidden="1"/>
    </xf>
    <xf numFmtId="0" fontId="78" fillId="37" borderId="15" xfId="0" applyNumberFormat="1" applyFont="1" applyFill="1" applyBorder="1" applyAlignment="1" applyProtection="1">
      <alignment horizontal="center" vertical="top"/>
      <protection hidden="1"/>
    </xf>
    <xf numFmtId="0" fontId="82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76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6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3" fillId="35" borderId="0" xfId="0" applyNumberFormat="1" applyFont="1" applyFill="1" applyBorder="1" applyAlignment="1" applyProtection="1">
      <alignment horizontal="left" vertical="top"/>
      <protection hidden="1"/>
    </xf>
    <xf numFmtId="0" fontId="76" fillId="35" borderId="0" xfId="0" applyNumberFormat="1" applyFont="1" applyFill="1" applyBorder="1" applyAlignment="1" applyProtection="1">
      <alignment horizontal="center" vertical="center"/>
      <protection hidden="1"/>
    </xf>
    <xf numFmtId="0" fontId="76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90" fillId="35" borderId="0" xfId="0" applyFont="1" applyFill="1" applyAlignment="1" applyProtection="1">
      <protection hidden="1"/>
    </xf>
    <xf numFmtId="0" fontId="90" fillId="35" borderId="35" xfId="0" applyFont="1" applyFill="1" applyBorder="1" applyAlignment="1" applyProtection="1">
      <protection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5" fillId="33" borderId="0" xfId="0" applyFont="1" applyFill="1" applyAlignment="1">
      <alignment horizontal="center" vertical="center"/>
    </xf>
    <xf numFmtId="0" fontId="74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3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0" xfId="37" applyFont="1" applyBorder="1" applyAlignment="1">
      <alignment horizontal="left" vertical="center"/>
    </xf>
    <xf numFmtId="0" fontId="2" fillId="0" borderId="21" xfId="37" applyFont="1" applyBorder="1" applyAlignment="1">
      <alignment horizontal="left" vertical="center"/>
    </xf>
    <xf numFmtId="0" fontId="43" fillId="0" borderId="12" xfId="37" applyFont="1" applyBorder="1" applyAlignment="1">
      <alignment horizontal="center" vertical="center"/>
    </xf>
    <xf numFmtId="0" fontId="43" fillId="0" borderId="13" xfId="37" applyFont="1" applyBorder="1" applyAlignment="1">
      <alignment horizontal="center" vertical="center"/>
    </xf>
    <xf numFmtId="0" fontId="43" fillId="0" borderId="14" xfId="37" applyFont="1" applyBorder="1" applyAlignment="1">
      <alignment horizontal="center" vertical="center"/>
    </xf>
    <xf numFmtId="9" fontId="43" fillId="0" borderId="10" xfId="37" applyNumberFormat="1" applyFont="1" applyBorder="1" applyAlignment="1">
      <alignment horizontal="center" vertical="center"/>
    </xf>
    <xf numFmtId="0" fontId="4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9" fillId="0" borderId="10" xfId="37" applyFont="1" applyFill="1" applyBorder="1" applyAlignment="1">
      <alignment horizontal="left" vertical="center" wrapText="1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10" xfId="37" applyFont="1" applyFill="1" applyBorder="1" applyAlignment="1">
      <alignment vertical="center"/>
    </xf>
    <xf numFmtId="0" fontId="1" fillId="0" borderId="10" xfId="37" applyFont="1" applyFill="1" applyBorder="1" applyAlignment="1">
      <alignment horizontal="left"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5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2" fontId="33" fillId="0" borderId="10" xfId="37" applyNumberFormat="1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center"/>
    </xf>
    <xf numFmtId="0" fontId="46" fillId="0" borderId="0" xfId="37" applyFont="1" applyAlignment="1">
      <alignment horizontal="center" vertical="center"/>
    </xf>
    <xf numFmtId="0" fontId="57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/>
    </xf>
    <xf numFmtId="0" fontId="33" fillId="0" borderId="12" xfId="37" applyFont="1" applyBorder="1" applyAlignment="1">
      <alignment horizontal="left" vertical="center"/>
    </xf>
    <xf numFmtId="0" fontId="33" fillId="0" borderId="13" xfId="37" applyFont="1" applyBorder="1" applyAlignment="1">
      <alignment horizontal="left" vertical="center"/>
    </xf>
    <xf numFmtId="0" fontId="33" fillId="0" borderId="14" xfId="37" applyFont="1" applyBorder="1" applyAlignment="1">
      <alignment horizontal="left" vertical="center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1" fillId="26" borderId="0" xfId="37" applyFont="1" applyFill="1" applyAlignment="1">
      <alignment horizontal="center"/>
    </xf>
    <xf numFmtId="0" fontId="55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5" fillId="0" borderId="41" xfId="0" applyFont="1" applyBorder="1" applyAlignment="1">
      <alignment horizontal="center"/>
    </xf>
    <xf numFmtId="0" fontId="85" fillId="0" borderId="42" xfId="0" applyFont="1" applyBorder="1" applyAlignment="1">
      <alignment horizontal="center"/>
    </xf>
    <xf numFmtId="0" fontId="85" fillId="0" borderId="43" xfId="0" applyFont="1" applyBorder="1" applyAlignment="1">
      <alignment horizontal="center"/>
    </xf>
    <xf numFmtId="0" fontId="86" fillId="0" borderId="44" xfId="0" applyFont="1" applyBorder="1" applyAlignment="1">
      <alignment horizontal="center"/>
    </xf>
    <xf numFmtId="0" fontId="86" fillId="0" borderId="0" xfId="0" applyFont="1" applyBorder="1" applyAlignment="1">
      <alignment horizontal="center"/>
    </xf>
    <xf numFmtId="0" fontId="86" fillId="0" borderId="37" xfId="0" applyFont="1" applyBorder="1" applyAlignment="1">
      <alignment horizontal="center"/>
    </xf>
    <xf numFmtId="2" fontId="87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59320</xdr:colOff>
      <xdr:row>1</xdr:row>
      <xdr:rowOff>50154</xdr:rowOff>
    </xdr:from>
    <xdr:to>
      <xdr:col>27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22</xdr:col>
      <xdr:colOff>367553</xdr:colOff>
      <xdr:row>2</xdr:row>
      <xdr:rowOff>51155</xdr:rowOff>
    </xdr:from>
    <xdr:to>
      <xdr:col>24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15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25</xdr:col>
      <xdr:colOff>91911</xdr:colOff>
      <xdr:row>4</xdr:row>
      <xdr:rowOff>32107</xdr:rowOff>
    </xdr:from>
    <xdr:to>
      <xdr:col>26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31</xdr:col>
      <xdr:colOff>457200</xdr:colOff>
      <xdr:row>2</xdr:row>
      <xdr:rowOff>15132</xdr:rowOff>
    </xdr:from>
    <xdr:to>
      <xdr:col>31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10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20</xdr:col>
      <xdr:colOff>30480</xdr:colOff>
      <xdr:row>5</xdr:row>
      <xdr:rowOff>45720</xdr:rowOff>
    </xdr:from>
    <xdr:to>
      <xdr:col>21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22</xdr:col>
      <xdr:colOff>367553</xdr:colOff>
      <xdr:row>3</xdr:row>
      <xdr:rowOff>51155</xdr:rowOff>
    </xdr:from>
    <xdr:to>
      <xdr:col>24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N956"/>
  <sheetViews>
    <sheetView showGridLines="0" tabSelected="1" zoomScale="74" zoomScaleNormal="74" workbookViewId="0">
      <selection activeCell="U30" sqref="U30"/>
    </sheetView>
  </sheetViews>
  <sheetFormatPr defaultColWidth="9.1796875" defaultRowHeight="12.5" zeroHeight="1"/>
  <cols>
    <col min="1" max="1" width="0.453125" style="43" customWidth="1" collapsed="1"/>
    <col min="2" max="2" width="1.81640625" style="6" hidden="1" customWidth="1" collapsed="1"/>
    <col min="3" max="3" width="15.90625" style="191" customWidth="1" collapsed="1"/>
    <col min="4" max="4" width="9.36328125" style="191" customWidth="1" collapsed="1"/>
    <col min="5" max="5" width="5.54296875" style="191" customWidth="1" collapsed="1"/>
    <col min="6" max="7" width="5.81640625" style="191" customWidth="1" collapsed="1"/>
    <col min="8" max="8" width="9.36328125" style="191" customWidth="1" collapsed="1"/>
    <col min="9" max="9" width="7.6328125" style="191" customWidth="1" collapsed="1"/>
    <col min="10" max="10" width="7.6328125" style="191" customWidth="1"/>
    <col min="11" max="11" width="4" style="191" customWidth="1" collapsed="1"/>
    <col min="12" max="13" width="6" style="191" customWidth="1" collapsed="1"/>
    <col min="14" max="14" width="9.81640625" style="191" customWidth="1" collapsed="1"/>
    <col min="15" max="15" width="9.81640625" style="191" customWidth="1"/>
    <col min="16" max="16" width="8.54296875" style="191" customWidth="1" collapsed="1"/>
    <col min="17" max="17" width="5.81640625" style="191" customWidth="1" collapsed="1"/>
    <col min="18" max="18" width="7.81640625" style="191" customWidth="1" collapsed="1"/>
    <col min="19" max="19" width="6.453125" style="191" customWidth="1"/>
    <col min="20" max="20" width="6" style="191" customWidth="1" collapsed="1"/>
    <col min="21" max="21" width="5.81640625" style="191" customWidth="1" collapsed="1"/>
    <col min="22" max="22" width="8.36328125" style="191" customWidth="1" collapsed="1"/>
    <col min="23" max="23" width="8" style="191" bestFit="1" customWidth="1" collapsed="1"/>
    <col min="24" max="24" width="4.1796875" style="191" customWidth="1" collapsed="1"/>
    <col min="25" max="25" width="4.6328125" style="191" customWidth="1" collapsed="1"/>
    <col min="26" max="26" width="8.36328125" style="191" customWidth="1" collapsed="1"/>
    <col min="27" max="27" width="7.1796875" style="191" customWidth="1" collapsed="1"/>
    <col min="28" max="28" width="5.453125" style="191" customWidth="1"/>
    <col min="29" max="29" width="7.453125" style="191" customWidth="1" collapsed="1"/>
    <col min="30" max="30" width="11.90625" style="191" customWidth="1" collapsed="1"/>
    <col min="31" max="31" width="13.90625" style="191" customWidth="1" collapsed="1"/>
    <col min="32" max="32" width="16.1796875" style="191" customWidth="1" collapsed="1"/>
    <col min="33" max="33" width="0.1796875" style="6" hidden="1" customWidth="1" collapsed="1"/>
    <col min="34" max="34" width="0.453125" style="6" hidden="1" customWidth="1" collapsed="1"/>
    <col min="35" max="35" width="9.1796875" style="6" hidden="1" customWidth="1" collapsed="1"/>
    <col min="36" max="36" width="17.90625" style="6" hidden="1" customWidth="1" collapsed="1"/>
    <col min="37" max="37" width="43.90625" style="6" customWidth="1" collapsed="1"/>
    <col min="38" max="38" width="15.81640625" style="6" customWidth="1" collapsed="1"/>
    <col min="39" max="39" width="20.81640625" style="6" customWidth="1" collapsed="1"/>
    <col min="40" max="40" width="14.453125" style="6" customWidth="1"/>
    <col min="41" max="41" width="10" style="6" customWidth="1" collapsed="1"/>
    <col min="42" max="52" width="9.1796875" style="6" customWidth="1" collapsed="1"/>
    <col min="53" max="16384" width="9.1796875" style="6" collapsed="1"/>
  </cols>
  <sheetData>
    <row r="1" spans="1:36" ht="15" customHeight="1">
      <c r="C1" s="230" t="s">
        <v>211</v>
      </c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</row>
    <row r="2" spans="1:36" ht="26" customHeight="1">
      <c r="C2" s="230"/>
      <c r="D2" s="235" t="s">
        <v>243</v>
      </c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103"/>
      <c r="AA2" s="103"/>
      <c r="AB2" s="103"/>
      <c r="AC2" s="216" t="s">
        <v>196</v>
      </c>
      <c r="AD2" s="216"/>
      <c r="AE2" s="103"/>
      <c r="AF2" s="104" t="s">
        <v>148</v>
      </c>
    </row>
    <row r="3" spans="1:36" ht="26" customHeight="1">
      <c r="C3" s="230"/>
      <c r="D3" s="219" t="s">
        <v>213</v>
      </c>
      <c r="E3" s="238"/>
      <c r="F3" s="238"/>
      <c r="G3" s="238"/>
      <c r="H3" s="238"/>
      <c r="I3" s="238"/>
      <c r="J3" s="238"/>
      <c r="K3" s="238"/>
      <c r="L3" s="239"/>
      <c r="M3" s="198" t="s">
        <v>196</v>
      </c>
      <c r="N3" s="240" t="s">
        <v>112</v>
      </c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2"/>
      <c r="Z3" s="231">
        <v>7</v>
      </c>
      <c r="AA3" s="231"/>
      <c r="AB3" s="115"/>
      <c r="AC3" s="105"/>
      <c r="AD3" s="103"/>
      <c r="AE3" s="103"/>
      <c r="AF3" s="103"/>
    </row>
    <row r="4" spans="1:36" ht="26" customHeight="1">
      <c r="C4" s="230"/>
      <c r="D4" s="219" t="s">
        <v>214</v>
      </c>
      <c r="E4" s="238"/>
      <c r="F4" s="238"/>
      <c r="G4" s="238"/>
      <c r="H4" s="238"/>
      <c r="I4" s="238"/>
      <c r="J4" s="238"/>
      <c r="K4" s="238"/>
      <c r="L4" s="239"/>
      <c r="M4" s="197" t="s">
        <v>196</v>
      </c>
      <c r="N4" s="240" t="s">
        <v>112</v>
      </c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2"/>
      <c r="Z4" s="231">
        <v>8</v>
      </c>
      <c r="AA4" s="231"/>
      <c r="AB4" s="115"/>
      <c r="AC4" s="105"/>
      <c r="AD4" s="103"/>
      <c r="AE4" s="103"/>
      <c r="AF4" s="103"/>
    </row>
    <row r="5" spans="1:36" ht="26" customHeight="1">
      <c r="C5" s="230"/>
      <c r="D5" s="219" t="s">
        <v>210</v>
      </c>
      <c r="E5" s="219"/>
      <c r="F5" s="219"/>
      <c r="G5" s="219"/>
      <c r="H5" s="219"/>
      <c r="I5" s="219"/>
      <c r="J5" s="219"/>
      <c r="K5" s="219"/>
      <c r="L5" s="219"/>
      <c r="M5" s="219"/>
      <c r="N5" s="106"/>
      <c r="O5" s="106"/>
      <c r="P5" s="106"/>
      <c r="Q5" s="216" t="s">
        <v>217</v>
      </c>
      <c r="R5" s="216"/>
      <c r="S5" s="107"/>
      <c r="T5" s="218" t="s">
        <v>207</v>
      </c>
      <c r="U5" s="218"/>
      <c r="V5" s="218"/>
      <c r="W5" s="218"/>
      <c r="X5" s="218"/>
      <c r="Y5" s="218"/>
      <c r="Z5" s="108"/>
      <c r="AA5" s="108"/>
      <c r="AB5" s="108"/>
      <c r="AC5" s="217" t="s">
        <v>196</v>
      </c>
      <c r="AD5" s="217"/>
      <c r="AE5" s="103"/>
      <c r="AF5" s="109">
        <v>0.08</v>
      </c>
    </row>
    <row r="6" spans="1:36" ht="26" customHeight="1">
      <c r="C6" s="230"/>
      <c r="D6" s="227" t="s">
        <v>205</v>
      </c>
      <c r="E6" s="227"/>
      <c r="F6" s="227"/>
      <c r="G6" s="227"/>
      <c r="H6" s="227"/>
      <c r="I6" s="100"/>
      <c r="J6" s="100"/>
      <c r="K6" s="100"/>
      <c r="L6" s="237">
        <v>47800</v>
      </c>
      <c r="M6" s="237"/>
      <c r="N6" s="236" t="s">
        <v>199</v>
      </c>
      <c r="O6" s="236"/>
      <c r="P6" s="236"/>
      <c r="Q6" s="236"/>
      <c r="R6" s="236"/>
      <c r="S6" s="236"/>
      <c r="T6" s="236"/>
      <c r="U6" s="101"/>
      <c r="V6" s="101"/>
      <c r="W6" s="232" t="s">
        <v>202</v>
      </c>
      <c r="X6" s="233"/>
      <c r="Y6" s="233"/>
      <c r="Z6" s="233"/>
      <c r="AA6" s="233"/>
      <c r="AB6" s="234"/>
      <c r="AC6" s="225" t="s">
        <v>208</v>
      </c>
      <c r="AD6" s="225"/>
      <c r="AE6" s="225"/>
      <c r="AF6" s="225"/>
    </row>
    <row r="7" spans="1:36" ht="7.25" customHeight="1">
      <c r="C7" s="230"/>
      <c r="D7" s="110"/>
      <c r="E7" s="110"/>
      <c r="F7" s="110"/>
      <c r="G7" s="110"/>
      <c r="H7" s="110"/>
      <c r="I7" s="111"/>
      <c r="J7" s="111"/>
      <c r="K7" s="111"/>
      <c r="L7" s="112"/>
      <c r="M7" s="112"/>
      <c r="N7" s="112"/>
      <c r="O7" s="112"/>
      <c r="P7" s="112"/>
      <c r="Q7" s="112"/>
      <c r="R7" s="112"/>
      <c r="S7" s="112"/>
      <c r="T7" s="112"/>
      <c r="U7" s="113"/>
      <c r="V7" s="113"/>
      <c r="W7" s="114"/>
      <c r="X7" s="114"/>
      <c r="Y7" s="114"/>
      <c r="Z7" s="114"/>
      <c r="AA7" s="114"/>
      <c r="AB7" s="114"/>
      <c r="AC7" s="226"/>
      <c r="AD7" s="226"/>
      <c r="AE7" s="226"/>
      <c r="AF7" s="226"/>
    </row>
    <row r="8" spans="1:36" ht="36" customHeight="1">
      <c r="C8" s="222" t="s">
        <v>177</v>
      </c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  <c r="Q8" s="222"/>
      <c r="R8" s="222"/>
      <c r="S8" s="222"/>
      <c r="T8" s="222"/>
      <c r="U8" s="222"/>
      <c r="V8" s="222"/>
      <c r="W8" s="222"/>
      <c r="X8" s="222"/>
      <c r="Y8" s="222"/>
      <c r="Z8" s="222"/>
      <c r="AA8" s="222"/>
      <c r="AB8" s="222"/>
      <c r="AC8" s="222"/>
      <c r="AD8" s="222"/>
      <c r="AE8" s="222"/>
      <c r="AF8" s="222"/>
    </row>
    <row r="9" spans="1:36" ht="30.65" customHeight="1">
      <c r="C9" s="223" t="s">
        <v>192</v>
      </c>
      <c r="D9" s="223"/>
      <c r="E9" s="223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J9" s="95"/>
    </row>
    <row r="10" spans="1:36" s="26" customFormat="1" ht="25.75" customHeight="1">
      <c r="A10" s="46"/>
      <c r="C10" s="228" t="s">
        <v>178</v>
      </c>
      <c r="D10" s="202" t="s">
        <v>248</v>
      </c>
      <c r="E10" s="203"/>
      <c r="F10" s="203"/>
      <c r="G10" s="203"/>
      <c r="H10" s="203"/>
      <c r="I10" s="207" t="s">
        <v>247</v>
      </c>
      <c r="J10" s="212"/>
      <c r="K10" s="212"/>
      <c r="L10" s="212"/>
      <c r="M10" s="212"/>
      <c r="N10" s="208"/>
      <c r="O10" s="196"/>
      <c r="P10" s="209" t="s">
        <v>249</v>
      </c>
      <c r="Q10" s="213"/>
      <c r="R10" s="213"/>
      <c r="S10" s="213"/>
      <c r="T10" s="214"/>
      <c r="U10" s="207" t="s">
        <v>246</v>
      </c>
      <c r="V10" s="208"/>
      <c r="W10" s="209" t="s">
        <v>254</v>
      </c>
      <c r="X10" s="210"/>
      <c r="Y10" s="210"/>
      <c r="Z10" s="210"/>
      <c r="AA10" s="210"/>
      <c r="AB10" s="211"/>
      <c r="AC10" s="220" t="s">
        <v>179</v>
      </c>
      <c r="AD10" s="220"/>
      <c r="AE10" s="224" t="s">
        <v>250</v>
      </c>
      <c r="AF10" s="224"/>
      <c r="AJ10" s="96"/>
    </row>
    <row r="11" spans="1:36" s="26" customFormat="1" ht="22.25" customHeight="1">
      <c r="A11" s="46"/>
      <c r="C11" s="229"/>
      <c r="D11" s="203"/>
      <c r="E11" s="203"/>
      <c r="F11" s="203"/>
      <c r="G11" s="203"/>
      <c r="H11" s="203"/>
      <c r="I11" s="207" t="s">
        <v>212</v>
      </c>
      <c r="J11" s="212"/>
      <c r="K11" s="212"/>
      <c r="L11" s="212"/>
      <c r="M11" s="212"/>
      <c r="N11" s="208"/>
      <c r="O11" s="196"/>
      <c r="P11" s="204"/>
      <c r="Q11" s="205"/>
      <c r="R11" s="205"/>
      <c r="S11" s="205"/>
      <c r="T11" s="206"/>
      <c r="U11" s="207" t="s">
        <v>143</v>
      </c>
      <c r="V11" s="212"/>
      <c r="W11" s="209" t="s">
        <v>218</v>
      </c>
      <c r="X11" s="210"/>
      <c r="Y11" s="210"/>
      <c r="Z11" s="210"/>
      <c r="AA11" s="210"/>
      <c r="AB11" s="211"/>
      <c r="AC11" s="220" t="s">
        <v>180</v>
      </c>
      <c r="AD11" s="220"/>
      <c r="AE11" s="221">
        <v>9784379510</v>
      </c>
      <c r="AF11" s="221"/>
      <c r="AJ11" s="96"/>
    </row>
    <row r="12" spans="1:36" s="22" customFormat="1" ht="121.25" customHeight="1">
      <c r="A12" s="47"/>
      <c r="C12" s="92" t="s">
        <v>14</v>
      </c>
      <c r="D12" s="189" t="s">
        <v>2</v>
      </c>
      <c r="E12" s="187" t="s">
        <v>3</v>
      </c>
      <c r="F12" s="187" t="s">
        <v>91</v>
      </c>
      <c r="G12" s="187" t="s">
        <v>24</v>
      </c>
      <c r="H12" s="189" t="s">
        <v>25</v>
      </c>
      <c r="I12" s="189" t="s">
        <v>146</v>
      </c>
      <c r="J12" s="189" t="s">
        <v>252</v>
      </c>
      <c r="K12" s="187" t="s">
        <v>96</v>
      </c>
      <c r="L12" s="187" t="s">
        <v>141</v>
      </c>
      <c r="M12" s="187" t="s">
        <v>144</v>
      </c>
      <c r="N12" s="188" t="s">
        <v>95</v>
      </c>
      <c r="O12" s="189" t="str">
        <f>IF(AC2="No","GPF","Emp. C.Pen.F.")</f>
        <v>Emp. C.Pen.F.</v>
      </c>
      <c r="P12" s="189" t="str">
        <f>IF(AC2="No","Emp. C.Pen.F.","Emp. C.Pen.F.")</f>
        <v>Emp. C.Pen.F.</v>
      </c>
      <c r="Q12" s="189" t="s">
        <v>253</v>
      </c>
      <c r="R12" s="189" t="s">
        <v>15</v>
      </c>
      <c r="S12" s="189" t="s">
        <v>206</v>
      </c>
      <c r="T12" s="189" t="s">
        <v>1</v>
      </c>
      <c r="U12" s="189" t="s">
        <v>16</v>
      </c>
      <c r="V12" s="189" t="s">
        <v>6</v>
      </c>
      <c r="W12" s="189" t="s">
        <v>140</v>
      </c>
      <c r="X12" s="189" t="s">
        <v>93</v>
      </c>
      <c r="Y12" s="189" t="s">
        <v>92</v>
      </c>
      <c r="Z12" s="189" t="s">
        <v>90</v>
      </c>
      <c r="AA12" s="187" t="s">
        <v>197</v>
      </c>
      <c r="AB12" s="187" t="s">
        <v>215</v>
      </c>
      <c r="AC12" s="187" t="s">
        <v>198</v>
      </c>
      <c r="AD12" s="189" t="s">
        <v>94</v>
      </c>
      <c r="AE12" s="188" t="s">
        <v>142</v>
      </c>
      <c r="AF12" s="190" t="s">
        <v>183</v>
      </c>
      <c r="AJ12" s="97"/>
    </row>
    <row r="13" spans="1:36" s="23" customFormat="1" ht="23.4" customHeight="1">
      <c r="A13" s="48"/>
      <c r="B13" s="23">
        <v>3</v>
      </c>
      <c r="C13" s="174">
        <v>43891</v>
      </c>
      <c r="D13" s="175">
        <f>IF($W$6="All India Service",ROUND(L6*15/31,0),IF($W$6="State service",ROUND(L6*15/31,0),IF($W$6="Subordinate",ROUND(L6*15/31,0),IF($W$6="Ministrial",ROUND(L6*22/31,0),IF($W$6="Class IV",ROUND(L6*31/31,0))))))</f>
        <v>23129</v>
      </c>
      <c r="E13" s="175">
        <v>0</v>
      </c>
      <c r="F13" s="175">
        <v>0</v>
      </c>
      <c r="G13" s="175">
        <v>0</v>
      </c>
      <c r="H13" s="175">
        <f>ROUND(17%*D13,0)</f>
        <v>3932</v>
      </c>
      <c r="I13" s="175">
        <f>IF($W$6="All India Service",ROUND(L6*AF5*15/31,0),IF($W$6="State service",ROUND(L6*AF5*15/31,0),IF($W$6="Subordinate",ROUND(L6*AF5*15/31,0),IF($W$6="Ministrial",ROUND(L6*AF5*22/31,0),IF($W$6="Class IV",ROUND(L6*AF5*31/31,0))))))</f>
        <v>1850</v>
      </c>
      <c r="J13" s="175">
        <f>IF($AC$2="Yes",ROUND((D13+H13)*0.1,0),IF($AC$2="No",0))</f>
        <v>2706</v>
      </c>
      <c r="K13" s="175">
        <v>0</v>
      </c>
      <c r="L13" s="175">
        <v>0</v>
      </c>
      <c r="M13" s="175">
        <v>0</v>
      </c>
      <c r="N13" s="176">
        <f t="shared" ref="N13:N26" si="0">SUM(D13:M13)</f>
        <v>31617</v>
      </c>
      <c r="O13" s="175">
        <f>IF($AC$2="Yes",ROUND((D13+H13)*0.1,0),IF($AC$2="No",0))</f>
        <v>2706</v>
      </c>
      <c r="P13" s="175">
        <f>IF($AC$2="Yes",ROUND((D13+H13)*0.1,0),IF($AC$2="No",0))</f>
        <v>2706</v>
      </c>
      <c r="Q13" s="175">
        <v>0</v>
      </c>
      <c r="R13" s="175">
        <v>0</v>
      </c>
      <c r="S13" s="175"/>
      <c r="T13" s="175">
        <v>0</v>
      </c>
      <c r="U13" s="175">
        <f>IF($AC$2="No",IF(L6&lt;18001,242,IF(L6&lt;33501,402,IF(L6&lt;54001,602,800))),0)</f>
        <v>0</v>
      </c>
      <c r="V13" s="175">
        <v>3023</v>
      </c>
      <c r="W13" s="175">
        <v>0</v>
      </c>
      <c r="X13" s="175"/>
      <c r="Y13" s="175"/>
      <c r="Z13" s="175"/>
      <c r="AA13" s="175"/>
      <c r="AB13" s="175"/>
      <c r="AC13" s="175">
        <f>IF($W$6="All India Service",ROUND(L6*5/31,0),IF($W$6="State service",ROUND(L6*5/31,0),IF($W$6="Subordinate",ROUND(L6*3/31,0),IF($W$6="Ministrial",ROUND(L6*2/31,0),IF($W$6="Class IV",ROUND(L6*1/31,0))))))</f>
        <v>4626</v>
      </c>
      <c r="AD13" s="177">
        <f>SUM(O13:AC13)</f>
        <v>13061</v>
      </c>
      <c r="AE13" s="178">
        <f t="shared" ref="AE13" si="1">N13-AD13</f>
        <v>18556</v>
      </c>
      <c r="AF13" s="175"/>
      <c r="AJ13" s="98" t="s">
        <v>201</v>
      </c>
    </row>
    <row r="14" spans="1:36" s="23" customFormat="1" ht="23.4" customHeight="1">
      <c r="A14" s="48"/>
      <c r="B14" s="23">
        <v>4</v>
      </c>
      <c r="C14" s="174">
        <v>43922</v>
      </c>
      <c r="D14" s="175">
        <f>L6</f>
        <v>47800</v>
      </c>
      <c r="E14" s="175">
        <f>IF(E$13=0,0,ROUND(D14/2,0))</f>
        <v>0</v>
      </c>
      <c r="F14" s="175">
        <f t="shared" ref="F14:G19" si="2">IF(F$13=0,0,F13)</f>
        <v>0</v>
      </c>
      <c r="G14" s="175">
        <f t="shared" si="2"/>
        <v>0</v>
      </c>
      <c r="H14" s="175">
        <f t="shared" ref="H14:H24" si="3">ROUND(17%*D14,0)</f>
        <v>8126</v>
      </c>
      <c r="I14" s="175">
        <f>IF($AF$5=16%,ROUND(0.16*D14,0),ROUND(0.08*D14,0))</f>
        <v>3824</v>
      </c>
      <c r="J14" s="175">
        <f>IF($AC$2="Yes",ROUND((D14+H14)*0.1,0),IF($AC$2="No",0))</f>
        <v>5593</v>
      </c>
      <c r="K14" s="175">
        <f t="shared" ref="K14:K24" si="4">IF(K$13=0,0,K13)</f>
        <v>0</v>
      </c>
      <c r="L14" s="175">
        <f t="shared" ref="L14:M24" si="5">IF(L$13=0,0,L13)</f>
        <v>0</v>
      </c>
      <c r="M14" s="175">
        <f t="shared" si="5"/>
        <v>0</v>
      </c>
      <c r="N14" s="176">
        <f t="shared" si="0"/>
        <v>65343</v>
      </c>
      <c r="O14" s="175">
        <f>IF($AC$2="Yes",ROUND((D14+H14)*0.1,0),IF($AC$2="No",IF(D14&lt;23101,1450,IF(D14&lt;28501,1625,IF(D14&lt;38501,2100,IF(D14&lt;51501,2850,IF(D14&lt;62001,3575,IF(D14&lt;72001,4200,IF(D14&lt;80001,4800,IF(D14&lt;116001,6150,IF(D14&lt;167001,8900,10500))))))))),0))</f>
        <v>5593</v>
      </c>
      <c r="P14" s="175">
        <f>IF($AC$2="Yes",ROUND((D14+H14)*0.1,0),IF($AC$2="No",0))</f>
        <v>5593</v>
      </c>
      <c r="Q14" s="175">
        <f>Q13</f>
        <v>0</v>
      </c>
      <c r="R14" s="175">
        <v>2200</v>
      </c>
      <c r="S14" s="175"/>
      <c r="T14" s="175">
        <f>T13</f>
        <v>0</v>
      </c>
      <c r="U14" s="175">
        <f t="shared" ref="U14" si="6">IF($AC$2="No",IF(D14&lt;18001,242,IF(D14&lt;33501,402,IF(D14&lt;54001,602,800))),0)</f>
        <v>0</v>
      </c>
      <c r="V14" s="175">
        <f>V13</f>
        <v>3023</v>
      </c>
      <c r="W14" s="179">
        <v>220</v>
      </c>
      <c r="X14" s="175">
        <f t="shared" ref="X14:Z24" si="7">X13</f>
        <v>0</v>
      </c>
      <c r="Y14" s="175">
        <f t="shared" si="7"/>
        <v>0</v>
      </c>
      <c r="Z14" s="175">
        <f>Z13</f>
        <v>0</v>
      </c>
      <c r="AA14" s="175"/>
      <c r="AB14" s="175"/>
      <c r="AC14" s="175"/>
      <c r="AD14" s="177">
        <f t="shared" ref="AD14:AD33" si="8">SUM(O14:AC14)</f>
        <v>16629</v>
      </c>
      <c r="AE14" s="178">
        <f t="shared" ref="AE14:AE30" si="9">N14-AD14</f>
        <v>48714</v>
      </c>
      <c r="AF14" s="175"/>
      <c r="AJ14" s="98" t="s">
        <v>202</v>
      </c>
    </row>
    <row r="15" spans="1:36" s="23" customFormat="1" ht="23.4" customHeight="1">
      <c r="A15" s="48"/>
      <c r="B15" s="23">
        <v>5</v>
      </c>
      <c r="C15" s="174">
        <v>43952</v>
      </c>
      <c r="D15" s="175">
        <f t="shared" ref="D15:D16" si="10">D14</f>
        <v>47800</v>
      </c>
      <c r="E15" s="175">
        <f t="shared" ref="E15:E24" si="11">IF($E$13=0,0,ROUND(D15/2,0))</f>
        <v>0</v>
      </c>
      <c r="F15" s="175">
        <f t="shared" si="2"/>
        <v>0</v>
      </c>
      <c r="G15" s="175">
        <f t="shared" si="2"/>
        <v>0</v>
      </c>
      <c r="H15" s="175">
        <f t="shared" si="3"/>
        <v>8126</v>
      </c>
      <c r="I15" s="175">
        <f>IF($AF$5=16%,ROUND(0.16*D15,0),ROUND(0.08*D15,0))</f>
        <v>3824</v>
      </c>
      <c r="J15" s="175">
        <f t="shared" ref="J15:J33" si="12">IF($AC$2="Yes",ROUND((D15+H15)*0.1,0),IF($AC$2="No",0))</f>
        <v>5593</v>
      </c>
      <c r="K15" s="175">
        <f t="shared" si="4"/>
        <v>0</v>
      </c>
      <c r="L15" s="175"/>
      <c r="M15" s="175">
        <f>IF(M$13=0,0,M14)</f>
        <v>0</v>
      </c>
      <c r="N15" s="176">
        <f t="shared" si="0"/>
        <v>65343</v>
      </c>
      <c r="O15" s="175">
        <f t="shared" ref="O15:O33" si="13">IF($AC$2="Yes",ROUND((D15+H15)*0.1,0),IF($AC$2="No",IF(D15&lt;23101,1450,IF(D15&lt;28501,1625,IF(D15&lt;38501,2100,IF(D15&lt;51501,2850,IF(D15&lt;62001,3575,IF(D15&lt;72001,4200,IF(D15&lt;80001,4800,IF(D15&lt;116001,6150,IF(D15&lt;167001,8900,10500))))))))),0))</f>
        <v>5593</v>
      </c>
      <c r="P15" s="175">
        <f t="shared" ref="P15:P33" si="14">IF($AC$2="Yes",ROUND((D15+H15)*0.1,0),IF($AC$2="No",0))</f>
        <v>5593</v>
      </c>
      <c r="Q15" s="175">
        <f t="shared" ref="Q15:Q24" si="15">Q14</f>
        <v>0</v>
      </c>
      <c r="R15" s="175">
        <f t="shared" ref="R15:R24" si="16">R14</f>
        <v>2200</v>
      </c>
      <c r="S15" s="175">
        <f>R14</f>
        <v>2200</v>
      </c>
      <c r="T15" s="175">
        <f t="shared" ref="T15:T24" si="17">T14</f>
        <v>0</v>
      </c>
      <c r="U15" s="175">
        <f>IF($AC$2="No",IF(D15&lt;18001,288,IF(D15&lt;33501,478,IF(D15&lt;54001,714,950))),0)</f>
        <v>0</v>
      </c>
      <c r="V15" s="175">
        <f t="shared" ref="V15:V24" si="18">V14</f>
        <v>3023</v>
      </c>
      <c r="W15" s="175">
        <v>0</v>
      </c>
      <c r="X15" s="175">
        <f t="shared" si="7"/>
        <v>0</v>
      </c>
      <c r="Y15" s="175">
        <f t="shared" si="7"/>
        <v>0</v>
      </c>
      <c r="Z15" s="175">
        <f t="shared" si="7"/>
        <v>0</v>
      </c>
      <c r="AA15" s="175"/>
      <c r="AB15" s="175"/>
      <c r="AC15" s="175"/>
      <c r="AD15" s="177">
        <f t="shared" si="8"/>
        <v>18609</v>
      </c>
      <c r="AE15" s="178">
        <f t="shared" si="9"/>
        <v>46734</v>
      </c>
      <c r="AF15" s="175"/>
      <c r="AJ15" s="98" t="s">
        <v>203</v>
      </c>
    </row>
    <row r="16" spans="1:36" s="23" customFormat="1" ht="23.4" customHeight="1">
      <c r="A16" s="48"/>
      <c r="B16" s="23">
        <v>6</v>
      </c>
      <c r="C16" s="174">
        <v>43983</v>
      </c>
      <c r="D16" s="175">
        <f t="shared" si="10"/>
        <v>47800</v>
      </c>
      <c r="E16" s="175">
        <f t="shared" si="11"/>
        <v>0</v>
      </c>
      <c r="F16" s="175">
        <f t="shared" si="2"/>
        <v>0</v>
      </c>
      <c r="G16" s="175">
        <f t="shared" si="2"/>
        <v>0</v>
      </c>
      <c r="H16" s="175">
        <f t="shared" si="3"/>
        <v>8126</v>
      </c>
      <c r="I16" s="175">
        <f t="shared" ref="I16:I24" si="19">IF($AF$5=16%,ROUND(0.16*D16,0),ROUND(0.08*D16,0))</f>
        <v>3824</v>
      </c>
      <c r="J16" s="175">
        <f t="shared" si="12"/>
        <v>5593</v>
      </c>
      <c r="K16" s="175">
        <f t="shared" si="4"/>
        <v>0</v>
      </c>
      <c r="L16" s="175">
        <f t="shared" si="5"/>
        <v>0</v>
      </c>
      <c r="M16" s="175"/>
      <c r="N16" s="176">
        <f t="shared" si="0"/>
        <v>65343</v>
      </c>
      <c r="O16" s="175">
        <f t="shared" si="13"/>
        <v>5593</v>
      </c>
      <c r="P16" s="175">
        <f t="shared" si="14"/>
        <v>5593</v>
      </c>
      <c r="Q16" s="175">
        <f t="shared" si="15"/>
        <v>0</v>
      </c>
      <c r="R16" s="175">
        <f t="shared" si="16"/>
        <v>2200</v>
      </c>
      <c r="S16" s="175"/>
      <c r="T16" s="175">
        <f t="shared" si="17"/>
        <v>0</v>
      </c>
      <c r="U16" s="175">
        <f>IF($AC$2="No",IF(D16&lt;18001,265,IF(D16&lt;33501,440,IF(D16&lt;54001,658,875))),0)</f>
        <v>0</v>
      </c>
      <c r="V16" s="175">
        <f t="shared" si="18"/>
        <v>3023</v>
      </c>
      <c r="W16" s="175">
        <v>0</v>
      </c>
      <c r="X16" s="175">
        <f t="shared" si="7"/>
        <v>0</v>
      </c>
      <c r="Y16" s="175">
        <f t="shared" si="7"/>
        <v>0</v>
      </c>
      <c r="Z16" s="175">
        <f t="shared" si="7"/>
        <v>0</v>
      </c>
      <c r="AA16" s="175"/>
      <c r="AB16" s="175"/>
      <c r="AC16" s="175"/>
      <c r="AD16" s="177">
        <f t="shared" si="8"/>
        <v>16409</v>
      </c>
      <c r="AE16" s="178">
        <f t="shared" si="9"/>
        <v>48934</v>
      </c>
      <c r="AF16" s="175"/>
      <c r="AJ16" s="98" t="s">
        <v>204</v>
      </c>
    </row>
    <row r="17" spans="1:36" s="23" customFormat="1" ht="23.4" customHeight="1">
      <c r="A17" s="48"/>
      <c r="B17" s="23">
        <v>7</v>
      </c>
      <c r="C17" s="174">
        <v>44013</v>
      </c>
      <c r="D17" s="175">
        <f>MROUND(ROUND(1.03*D16,0),100)</f>
        <v>49200</v>
      </c>
      <c r="E17" s="175">
        <f t="shared" si="11"/>
        <v>0</v>
      </c>
      <c r="F17" s="175">
        <f>IF(F$13=0,0,F16)</f>
        <v>0</v>
      </c>
      <c r="G17" s="175">
        <f>IF(G$13=0,0,G16)</f>
        <v>0</v>
      </c>
      <c r="H17" s="175">
        <f t="shared" si="3"/>
        <v>8364</v>
      </c>
      <c r="I17" s="175">
        <f t="shared" si="19"/>
        <v>3936</v>
      </c>
      <c r="J17" s="175">
        <f t="shared" si="12"/>
        <v>5756</v>
      </c>
      <c r="K17" s="175">
        <f>IF(K$13=0,0,K16)</f>
        <v>0</v>
      </c>
      <c r="L17" s="175">
        <f t="shared" ref="L17" si="20">IF(L$13=0,0,L16)</f>
        <v>0</v>
      </c>
      <c r="M17" s="175">
        <f>IF(M$13=0,0,M16)</f>
        <v>0</v>
      </c>
      <c r="N17" s="176">
        <f t="shared" si="0"/>
        <v>67256</v>
      </c>
      <c r="O17" s="175">
        <f t="shared" si="13"/>
        <v>5756</v>
      </c>
      <c r="P17" s="175">
        <f t="shared" si="14"/>
        <v>5756</v>
      </c>
      <c r="Q17" s="175">
        <f>Q16</f>
        <v>0</v>
      </c>
      <c r="R17" s="175">
        <f>R16</f>
        <v>2200</v>
      </c>
      <c r="S17" s="175"/>
      <c r="T17" s="175">
        <f>T16</f>
        <v>0</v>
      </c>
      <c r="U17" s="175">
        <f t="shared" ref="U17:U24" si="21">IF($AC$2="No",IF(D17&lt;18001,265,IF(D17&lt;33501,440,IF(D17&lt;54001,658,875))),0)</f>
        <v>0</v>
      </c>
      <c r="V17" s="175">
        <f>V16</f>
        <v>3023</v>
      </c>
      <c r="W17" s="175">
        <v>0</v>
      </c>
      <c r="X17" s="175">
        <f>X16</f>
        <v>0</v>
      </c>
      <c r="Y17" s="175">
        <f>Y16</f>
        <v>0</v>
      </c>
      <c r="Z17" s="175">
        <f t="shared" ref="Z17:Z24" si="22">Z16</f>
        <v>0</v>
      </c>
      <c r="AA17" s="175"/>
      <c r="AB17" s="175"/>
      <c r="AC17" s="175"/>
      <c r="AD17" s="177">
        <f t="shared" si="8"/>
        <v>16735</v>
      </c>
      <c r="AE17" s="178">
        <f t="shared" si="9"/>
        <v>50521</v>
      </c>
      <c r="AF17" s="175"/>
      <c r="AJ17" s="98" t="s">
        <v>200</v>
      </c>
    </row>
    <row r="18" spans="1:36" s="23" customFormat="1" ht="23.4" customHeight="1">
      <c r="A18" s="48"/>
      <c r="B18" s="23">
        <v>8</v>
      </c>
      <c r="C18" s="174">
        <v>44044</v>
      </c>
      <c r="D18" s="175">
        <f t="shared" ref="D18:D24" si="23">D17</f>
        <v>49200</v>
      </c>
      <c r="E18" s="175">
        <f t="shared" si="11"/>
        <v>0</v>
      </c>
      <c r="F18" s="175">
        <f t="shared" si="2"/>
        <v>0</v>
      </c>
      <c r="G18" s="175">
        <f t="shared" si="2"/>
        <v>0</v>
      </c>
      <c r="H18" s="175">
        <f t="shared" si="3"/>
        <v>8364</v>
      </c>
      <c r="I18" s="175">
        <f t="shared" si="19"/>
        <v>3936</v>
      </c>
      <c r="J18" s="175">
        <f t="shared" si="12"/>
        <v>5756</v>
      </c>
      <c r="K18" s="175">
        <f t="shared" si="4"/>
        <v>0</v>
      </c>
      <c r="L18" s="175">
        <f t="shared" si="5"/>
        <v>0</v>
      </c>
      <c r="M18" s="175">
        <f t="shared" si="5"/>
        <v>0</v>
      </c>
      <c r="N18" s="176">
        <f t="shared" si="0"/>
        <v>67256</v>
      </c>
      <c r="O18" s="175">
        <f t="shared" si="13"/>
        <v>5756</v>
      </c>
      <c r="P18" s="175">
        <f t="shared" si="14"/>
        <v>5756</v>
      </c>
      <c r="Q18" s="175">
        <f t="shared" si="15"/>
        <v>0</v>
      </c>
      <c r="R18" s="175">
        <f t="shared" si="16"/>
        <v>2200</v>
      </c>
      <c r="S18" s="175"/>
      <c r="T18" s="175">
        <f t="shared" si="17"/>
        <v>0</v>
      </c>
      <c r="U18" s="175">
        <f t="shared" si="21"/>
        <v>0</v>
      </c>
      <c r="V18" s="175">
        <f t="shared" si="18"/>
        <v>3023</v>
      </c>
      <c r="W18" s="175">
        <v>0</v>
      </c>
      <c r="X18" s="175">
        <f t="shared" si="7"/>
        <v>0</v>
      </c>
      <c r="Y18" s="175">
        <f t="shared" si="7"/>
        <v>0</v>
      </c>
      <c r="Z18" s="175">
        <f t="shared" si="22"/>
        <v>0</v>
      </c>
      <c r="AA18" s="175"/>
      <c r="AB18" s="175"/>
      <c r="AC18" s="175"/>
      <c r="AD18" s="177">
        <f t="shared" si="8"/>
        <v>16735</v>
      </c>
      <c r="AE18" s="178">
        <f t="shared" si="9"/>
        <v>50521</v>
      </c>
      <c r="AF18" s="175"/>
    </row>
    <row r="19" spans="1:36" s="23" customFormat="1" ht="23.4" customHeight="1">
      <c r="A19" s="48"/>
      <c r="B19" s="23">
        <v>9</v>
      </c>
      <c r="C19" s="174">
        <v>44075</v>
      </c>
      <c r="D19" s="175">
        <f t="shared" si="23"/>
        <v>49200</v>
      </c>
      <c r="E19" s="175">
        <f t="shared" si="11"/>
        <v>0</v>
      </c>
      <c r="F19" s="175">
        <f t="shared" si="2"/>
        <v>0</v>
      </c>
      <c r="G19" s="175">
        <f t="shared" si="2"/>
        <v>0</v>
      </c>
      <c r="H19" s="175">
        <f t="shared" si="3"/>
        <v>8364</v>
      </c>
      <c r="I19" s="175">
        <f t="shared" si="19"/>
        <v>3936</v>
      </c>
      <c r="J19" s="175">
        <f t="shared" si="12"/>
        <v>5756</v>
      </c>
      <c r="K19" s="175">
        <f t="shared" si="4"/>
        <v>0</v>
      </c>
      <c r="L19" s="175">
        <f t="shared" si="5"/>
        <v>0</v>
      </c>
      <c r="M19" s="175">
        <f t="shared" si="5"/>
        <v>0</v>
      </c>
      <c r="N19" s="176">
        <f t="shared" si="0"/>
        <v>67256</v>
      </c>
      <c r="O19" s="175">
        <f t="shared" si="13"/>
        <v>5756</v>
      </c>
      <c r="P19" s="175">
        <f t="shared" si="14"/>
        <v>5756</v>
      </c>
      <c r="Q19" s="175">
        <f t="shared" si="15"/>
        <v>0</v>
      </c>
      <c r="R19" s="175">
        <f t="shared" si="16"/>
        <v>2200</v>
      </c>
      <c r="S19" s="175"/>
      <c r="T19" s="175">
        <f t="shared" si="17"/>
        <v>0</v>
      </c>
      <c r="U19" s="175">
        <f t="shared" si="21"/>
        <v>0</v>
      </c>
      <c r="V19" s="175">
        <f t="shared" si="18"/>
        <v>3023</v>
      </c>
      <c r="W19" s="175">
        <v>0</v>
      </c>
      <c r="X19" s="175">
        <f t="shared" si="7"/>
        <v>0</v>
      </c>
      <c r="Y19" s="175">
        <f t="shared" si="7"/>
        <v>0</v>
      </c>
      <c r="Z19" s="175">
        <f t="shared" si="22"/>
        <v>0</v>
      </c>
      <c r="AA19" s="175"/>
      <c r="AB19" s="175"/>
      <c r="AC19" s="175">
        <f>IF($W$6="All India Service",ROUND((D19+H19+I19)*2/30,0),IF($W$6="State service",ROUND((D19+H19+I19)*2/30,0),IF($W$6="Subordinate",ROUND((D19+H19+I19)*1/30,0),IF($W$6="Ministrial",ROUND((D19+H19+I19)*1/30,0),IF($W$6="Class IV",ROUND((D19+H19+I19)*1/30,0))))))</f>
        <v>2050</v>
      </c>
      <c r="AD19" s="177">
        <f t="shared" si="8"/>
        <v>18785</v>
      </c>
      <c r="AE19" s="178">
        <f t="shared" si="9"/>
        <v>48471</v>
      </c>
      <c r="AF19" s="175"/>
    </row>
    <row r="20" spans="1:36" s="23" customFormat="1" ht="23.4" customHeight="1">
      <c r="A20" s="48"/>
      <c r="B20" s="23">
        <v>10</v>
      </c>
      <c r="C20" s="174">
        <v>44105</v>
      </c>
      <c r="D20" s="175">
        <f t="shared" si="23"/>
        <v>49200</v>
      </c>
      <c r="E20" s="175">
        <f t="shared" si="11"/>
        <v>0</v>
      </c>
      <c r="F20" s="175">
        <f>IF(F$13=0,0,F19)</f>
        <v>0</v>
      </c>
      <c r="G20" s="175">
        <f t="shared" ref="G20:G24" si="24">IF(G$13=0,0,G19)</f>
        <v>0</v>
      </c>
      <c r="H20" s="175">
        <f t="shared" si="3"/>
        <v>8364</v>
      </c>
      <c r="I20" s="175">
        <f t="shared" si="19"/>
        <v>3936</v>
      </c>
      <c r="J20" s="175">
        <f t="shared" si="12"/>
        <v>5756</v>
      </c>
      <c r="K20" s="175">
        <f t="shared" si="4"/>
        <v>0</v>
      </c>
      <c r="L20" s="175">
        <f t="shared" si="5"/>
        <v>0</v>
      </c>
      <c r="M20" s="175">
        <f t="shared" si="5"/>
        <v>0</v>
      </c>
      <c r="N20" s="176">
        <f t="shared" si="0"/>
        <v>67256</v>
      </c>
      <c r="O20" s="175">
        <f t="shared" si="13"/>
        <v>5756</v>
      </c>
      <c r="P20" s="175">
        <f t="shared" si="14"/>
        <v>5756</v>
      </c>
      <c r="Q20" s="175">
        <f t="shared" si="15"/>
        <v>0</v>
      </c>
      <c r="R20" s="175">
        <f t="shared" si="16"/>
        <v>2200</v>
      </c>
      <c r="S20" s="175"/>
      <c r="T20" s="175">
        <f t="shared" si="17"/>
        <v>0</v>
      </c>
      <c r="U20" s="175">
        <f t="shared" si="21"/>
        <v>0</v>
      </c>
      <c r="V20" s="175">
        <f t="shared" si="18"/>
        <v>3023</v>
      </c>
      <c r="W20" s="175">
        <v>0</v>
      </c>
      <c r="X20" s="175">
        <f t="shared" si="7"/>
        <v>0</v>
      </c>
      <c r="Y20" s="175">
        <f t="shared" si="7"/>
        <v>0</v>
      </c>
      <c r="Z20" s="175">
        <f t="shared" si="22"/>
        <v>0</v>
      </c>
      <c r="AA20" s="175"/>
      <c r="AB20" s="175"/>
      <c r="AC20" s="175">
        <f>IF($W$6="All India Service",ROUND((D20+H20+I20)*2/31,0),IF($W$6="State service",ROUND((D20+H20+I20)*2/31,0),IF($W$6="Subordinate",ROUND((D20+H20+I20)*1/31,0),IF($W$6="Ministrial",ROUND((D20+H20+I20)*1/31,0),IF($W$6="Class IV",ROUND((D20+H20+I20)*1/31,0))))))</f>
        <v>1984</v>
      </c>
      <c r="AD20" s="177">
        <f t="shared" si="8"/>
        <v>18719</v>
      </c>
      <c r="AE20" s="178">
        <f t="shared" si="9"/>
        <v>48537</v>
      </c>
      <c r="AF20" s="175"/>
    </row>
    <row r="21" spans="1:36" s="23" customFormat="1" ht="23.4" customHeight="1">
      <c r="A21" s="48"/>
      <c r="B21" s="23">
        <v>11</v>
      </c>
      <c r="C21" s="174">
        <v>44136</v>
      </c>
      <c r="D21" s="175">
        <f t="shared" si="23"/>
        <v>49200</v>
      </c>
      <c r="E21" s="175">
        <f t="shared" si="11"/>
        <v>0</v>
      </c>
      <c r="F21" s="175">
        <f>IF(F$13=0,0,F20)</f>
        <v>0</v>
      </c>
      <c r="G21" s="175">
        <f t="shared" si="24"/>
        <v>0</v>
      </c>
      <c r="H21" s="175">
        <f t="shared" si="3"/>
        <v>8364</v>
      </c>
      <c r="I21" s="175">
        <f t="shared" si="19"/>
        <v>3936</v>
      </c>
      <c r="J21" s="175">
        <f t="shared" si="12"/>
        <v>5756</v>
      </c>
      <c r="K21" s="175">
        <f t="shared" si="4"/>
        <v>0</v>
      </c>
      <c r="L21" s="175">
        <f t="shared" si="5"/>
        <v>0</v>
      </c>
      <c r="M21" s="175">
        <f t="shared" si="5"/>
        <v>0</v>
      </c>
      <c r="N21" s="176">
        <f t="shared" si="0"/>
        <v>67256</v>
      </c>
      <c r="O21" s="175">
        <f t="shared" si="13"/>
        <v>5756</v>
      </c>
      <c r="P21" s="175">
        <f t="shared" si="14"/>
        <v>5756</v>
      </c>
      <c r="Q21" s="175">
        <f t="shared" si="15"/>
        <v>0</v>
      </c>
      <c r="R21" s="175">
        <f t="shared" si="16"/>
        <v>2200</v>
      </c>
      <c r="S21" s="175"/>
      <c r="T21" s="175">
        <f t="shared" si="17"/>
        <v>0</v>
      </c>
      <c r="U21" s="175">
        <f t="shared" si="21"/>
        <v>0</v>
      </c>
      <c r="V21" s="175">
        <f t="shared" si="18"/>
        <v>3023</v>
      </c>
      <c r="W21" s="175">
        <v>0</v>
      </c>
      <c r="X21" s="175">
        <f t="shared" si="7"/>
        <v>0</v>
      </c>
      <c r="Y21" s="175">
        <f t="shared" si="7"/>
        <v>0</v>
      </c>
      <c r="Z21" s="175">
        <f t="shared" si="22"/>
        <v>0</v>
      </c>
      <c r="AA21" s="175"/>
      <c r="AB21" s="175"/>
      <c r="AC21" s="175"/>
      <c r="AD21" s="177">
        <f t="shared" si="8"/>
        <v>16735</v>
      </c>
      <c r="AE21" s="178">
        <f t="shared" si="9"/>
        <v>50521</v>
      </c>
      <c r="AF21" s="175"/>
    </row>
    <row r="22" spans="1:36" s="23" customFormat="1" ht="23.4" customHeight="1">
      <c r="A22" s="48"/>
      <c r="B22" s="23">
        <v>12</v>
      </c>
      <c r="C22" s="174">
        <v>44166</v>
      </c>
      <c r="D22" s="175">
        <f t="shared" si="23"/>
        <v>49200</v>
      </c>
      <c r="E22" s="175">
        <f t="shared" si="11"/>
        <v>0</v>
      </c>
      <c r="F22" s="175">
        <f>IF(F$13=0,0,F21)</f>
        <v>0</v>
      </c>
      <c r="G22" s="175">
        <f t="shared" si="24"/>
        <v>0</v>
      </c>
      <c r="H22" s="175">
        <f t="shared" si="3"/>
        <v>8364</v>
      </c>
      <c r="I22" s="175">
        <f t="shared" si="19"/>
        <v>3936</v>
      </c>
      <c r="J22" s="175">
        <f t="shared" si="12"/>
        <v>5756</v>
      </c>
      <c r="K22" s="175">
        <f t="shared" si="4"/>
        <v>0</v>
      </c>
      <c r="L22" s="175">
        <f>IF(L$13=0,0,L21)</f>
        <v>0</v>
      </c>
      <c r="M22" s="175">
        <f t="shared" si="5"/>
        <v>0</v>
      </c>
      <c r="N22" s="176">
        <f t="shared" si="0"/>
        <v>67256</v>
      </c>
      <c r="O22" s="175">
        <f t="shared" si="13"/>
        <v>5756</v>
      </c>
      <c r="P22" s="175">
        <f t="shared" si="14"/>
        <v>5756</v>
      </c>
      <c r="Q22" s="175">
        <f t="shared" si="15"/>
        <v>0</v>
      </c>
      <c r="R22" s="175">
        <f t="shared" si="16"/>
        <v>2200</v>
      </c>
      <c r="S22" s="175"/>
      <c r="T22" s="175">
        <f t="shared" si="17"/>
        <v>0</v>
      </c>
      <c r="U22" s="175">
        <f t="shared" si="21"/>
        <v>0</v>
      </c>
      <c r="V22" s="175">
        <f t="shared" si="18"/>
        <v>3023</v>
      </c>
      <c r="W22" s="175">
        <v>0</v>
      </c>
      <c r="X22" s="175">
        <f t="shared" si="7"/>
        <v>0</v>
      </c>
      <c r="Y22" s="175">
        <f t="shared" si="7"/>
        <v>0</v>
      </c>
      <c r="Z22" s="175">
        <f t="shared" si="22"/>
        <v>0</v>
      </c>
      <c r="AA22" s="175"/>
      <c r="AB22" s="175">
        <f>IF(W6="State Service",500,250)</f>
        <v>250</v>
      </c>
      <c r="AC22" s="175"/>
      <c r="AD22" s="177">
        <f t="shared" si="8"/>
        <v>16985</v>
      </c>
      <c r="AE22" s="178">
        <f t="shared" si="9"/>
        <v>50271</v>
      </c>
      <c r="AF22" s="175"/>
    </row>
    <row r="23" spans="1:36" s="23" customFormat="1" ht="23.4" customHeight="1">
      <c r="A23" s="48"/>
      <c r="B23" s="23">
        <v>1</v>
      </c>
      <c r="C23" s="174">
        <v>44197</v>
      </c>
      <c r="D23" s="175">
        <f t="shared" si="23"/>
        <v>49200</v>
      </c>
      <c r="E23" s="175">
        <f t="shared" si="11"/>
        <v>0</v>
      </c>
      <c r="F23" s="175">
        <f>IF(F$13=0,0,F22)</f>
        <v>0</v>
      </c>
      <c r="G23" s="175">
        <f t="shared" si="24"/>
        <v>0</v>
      </c>
      <c r="H23" s="175">
        <f t="shared" si="3"/>
        <v>8364</v>
      </c>
      <c r="I23" s="175">
        <f t="shared" si="19"/>
        <v>3936</v>
      </c>
      <c r="J23" s="175">
        <f t="shared" si="12"/>
        <v>5756</v>
      </c>
      <c r="K23" s="175">
        <f t="shared" si="4"/>
        <v>0</v>
      </c>
      <c r="L23" s="175">
        <f t="shared" si="5"/>
        <v>0</v>
      </c>
      <c r="M23" s="175">
        <f t="shared" si="5"/>
        <v>0</v>
      </c>
      <c r="N23" s="176">
        <f t="shared" si="0"/>
        <v>67256</v>
      </c>
      <c r="O23" s="175">
        <f t="shared" si="13"/>
        <v>5756</v>
      </c>
      <c r="P23" s="175">
        <f t="shared" si="14"/>
        <v>5756</v>
      </c>
      <c r="Q23" s="175">
        <f t="shared" si="15"/>
        <v>0</v>
      </c>
      <c r="R23" s="175">
        <f t="shared" si="16"/>
        <v>2200</v>
      </c>
      <c r="S23" s="175"/>
      <c r="T23" s="175">
        <f t="shared" si="17"/>
        <v>0</v>
      </c>
      <c r="U23" s="175">
        <f t="shared" si="21"/>
        <v>0</v>
      </c>
      <c r="V23" s="175">
        <f t="shared" si="18"/>
        <v>3023</v>
      </c>
      <c r="W23" s="175">
        <v>0</v>
      </c>
      <c r="X23" s="175">
        <f t="shared" si="7"/>
        <v>0</v>
      </c>
      <c r="Y23" s="175">
        <f t="shared" si="7"/>
        <v>0</v>
      </c>
      <c r="Z23" s="175">
        <f t="shared" si="22"/>
        <v>0</v>
      </c>
      <c r="AA23" s="175"/>
      <c r="AB23" s="175"/>
      <c r="AC23" s="175"/>
      <c r="AD23" s="177">
        <f t="shared" si="8"/>
        <v>16735</v>
      </c>
      <c r="AE23" s="178">
        <f t="shared" si="9"/>
        <v>50521</v>
      </c>
      <c r="AF23" s="175"/>
    </row>
    <row r="24" spans="1:36" s="23" customFormat="1" ht="23.4" customHeight="1">
      <c r="A24" s="48"/>
      <c r="B24" s="23">
        <v>2</v>
      </c>
      <c r="C24" s="174">
        <v>44228</v>
      </c>
      <c r="D24" s="175">
        <f t="shared" si="23"/>
        <v>49200</v>
      </c>
      <c r="E24" s="175">
        <f t="shared" si="11"/>
        <v>0</v>
      </c>
      <c r="F24" s="175">
        <f>IF(F$13=0,0,F23)</f>
        <v>0</v>
      </c>
      <c r="G24" s="175">
        <f t="shared" si="24"/>
        <v>0</v>
      </c>
      <c r="H24" s="175">
        <f t="shared" si="3"/>
        <v>8364</v>
      </c>
      <c r="I24" s="175">
        <f t="shared" si="19"/>
        <v>3936</v>
      </c>
      <c r="J24" s="175">
        <f t="shared" si="12"/>
        <v>5756</v>
      </c>
      <c r="K24" s="175">
        <f t="shared" si="4"/>
        <v>0</v>
      </c>
      <c r="L24" s="175">
        <f t="shared" si="5"/>
        <v>0</v>
      </c>
      <c r="M24" s="175">
        <f t="shared" si="5"/>
        <v>0</v>
      </c>
      <c r="N24" s="176">
        <f t="shared" si="0"/>
        <v>67256</v>
      </c>
      <c r="O24" s="175">
        <f t="shared" si="13"/>
        <v>5756</v>
      </c>
      <c r="P24" s="175">
        <f t="shared" si="14"/>
        <v>5756</v>
      </c>
      <c r="Q24" s="175">
        <f t="shared" si="15"/>
        <v>0</v>
      </c>
      <c r="R24" s="175">
        <f t="shared" si="16"/>
        <v>2200</v>
      </c>
      <c r="S24" s="175"/>
      <c r="T24" s="175">
        <f t="shared" si="17"/>
        <v>0</v>
      </c>
      <c r="U24" s="175">
        <f t="shared" si="21"/>
        <v>0</v>
      </c>
      <c r="V24" s="175">
        <f t="shared" si="18"/>
        <v>3023</v>
      </c>
      <c r="W24" s="175">
        <v>0</v>
      </c>
      <c r="X24" s="175">
        <f t="shared" si="7"/>
        <v>0</v>
      </c>
      <c r="Y24" s="175">
        <f t="shared" si="7"/>
        <v>0</v>
      </c>
      <c r="Z24" s="175">
        <f t="shared" si="22"/>
        <v>0</v>
      </c>
      <c r="AA24" s="175"/>
      <c r="AB24" s="175"/>
      <c r="AC24" s="175"/>
      <c r="AD24" s="177">
        <f t="shared" si="8"/>
        <v>16735</v>
      </c>
      <c r="AE24" s="178">
        <f t="shared" si="9"/>
        <v>50521</v>
      </c>
      <c r="AF24" s="175"/>
    </row>
    <row r="25" spans="1:36" s="23" customFormat="1" ht="42.65" customHeight="1">
      <c r="A25" s="48"/>
      <c r="C25" s="199" t="s">
        <v>241</v>
      </c>
      <c r="D25" s="175"/>
      <c r="E25" s="175"/>
      <c r="F25" s="175"/>
      <c r="G25" s="175"/>
      <c r="H25" s="175">
        <f>(ROUND(17%*D14,0)-ROUND(12%*D14,0))*6+IF(M4="NO",0,IF(AND(Z4&gt;6,Z4&lt;13),ROUND(17%*D14/2,0)-ROUND(12%*D14/2,0),0))</f>
        <v>15535</v>
      </c>
      <c r="I25" s="175"/>
      <c r="J25" s="175">
        <f>IF($AC$2="Yes",ROUND((H25/6)*0.1,0),IF($AC$2="No",0))*6</f>
        <v>1554</v>
      </c>
      <c r="K25" s="175"/>
      <c r="L25" s="175"/>
      <c r="M25" s="175"/>
      <c r="N25" s="176">
        <f t="shared" si="0"/>
        <v>17089</v>
      </c>
      <c r="O25" s="175">
        <f>IF($AC$2="Yes",ROUND((H25/6)*0.1,0),IF($AC$2="No",0))*6</f>
        <v>1554</v>
      </c>
      <c r="P25" s="175">
        <f>IF($AC$2="Yes",ROUND((H25/6)*0.1,0),IF($AC$2="No",0))*6</f>
        <v>1554</v>
      </c>
      <c r="Q25" s="175"/>
      <c r="R25" s="175">
        <v>0</v>
      </c>
      <c r="S25" s="175"/>
      <c r="T25" s="175"/>
      <c r="U25" s="175"/>
      <c r="V25" s="175">
        <v>0</v>
      </c>
      <c r="W25" s="175"/>
      <c r="X25" s="175"/>
      <c r="Y25" s="175"/>
      <c r="Z25" s="175"/>
      <c r="AA25" s="175"/>
      <c r="AB25" s="175"/>
      <c r="AC25" s="175"/>
      <c r="AD25" s="177">
        <f t="shared" si="8"/>
        <v>3108</v>
      </c>
      <c r="AE25" s="178">
        <f t="shared" si="9"/>
        <v>13981</v>
      </c>
      <c r="AF25" s="175"/>
    </row>
    <row r="26" spans="1:36" s="23" customFormat="1" ht="42.65" customHeight="1">
      <c r="A26" s="48"/>
      <c r="C26" s="199" t="s">
        <v>242</v>
      </c>
      <c r="D26" s="175"/>
      <c r="E26" s="175"/>
      <c r="F26" s="175"/>
      <c r="G26" s="175"/>
      <c r="H26" s="175">
        <f>(ROUND(17%*D14,0)-ROUND(12%*D14,0))*2+IF(M4="NO",0,IF(AND(Z4&gt;0,Z4&lt;4),ROUND(17%*D14,0)-ROUND(12%*D14,0),0))</f>
        <v>4780</v>
      </c>
      <c r="I26" s="175"/>
      <c r="J26" s="175">
        <f>IF($AC$2="Yes",ROUND((H26/2)*0.1,0),IF($AC$2="No",0))*2</f>
        <v>478</v>
      </c>
      <c r="K26" s="175"/>
      <c r="L26" s="175"/>
      <c r="M26" s="175"/>
      <c r="N26" s="176">
        <f t="shared" si="0"/>
        <v>5258</v>
      </c>
      <c r="O26" s="175">
        <f>IF($AC$2="Yes",ROUND((H26/2)*0.1,0),IF($AC$2="No",0))*2</f>
        <v>478</v>
      </c>
      <c r="P26" s="175">
        <f>IF($AC$2="Yes",ROUND((H26/2)*0.1,0),IF($AC$2="No",0))*2</f>
        <v>478</v>
      </c>
      <c r="Q26" s="175"/>
      <c r="R26" s="175">
        <v>0</v>
      </c>
      <c r="S26" s="175"/>
      <c r="T26" s="175"/>
      <c r="U26" s="175"/>
      <c r="V26" s="175">
        <v>0</v>
      </c>
      <c r="W26" s="175"/>
      <c r="X26" s="175"/>
      <c r="Y26" s="175"/>
      <c r="Z26" s="175"/>
      <c r="AA26" s="175"/>
      <c r="AB26" s="175"/>
      <c r="AC26" s="175"/>
      <c r="AD26" s="177">
        <f t="shared" si="8"/>
        <v>956</v>
      </c>
      <c r="AE26" s="178">
        <f t="shared" ref="AE26" si="25">N26-AD26</f>
        <v>4302</v>
      </c>
      <c r="AF26" s="175"/>
    </row>
    <row r="27" spans="1:36" s="23" customFormat="1" ht="26.15" customHeight="1">
      <c r="A27" s="48"/>
      <c r="C27" s="185" t="s">
        <v>193</v>
      </c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6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7"/>
      <c r="AE27" s="178"/>
      <c r="AF27" s="175"/>
    </row>
    <row r="28" spans="1:36" s="23" customFormat="1" ht="19" customHeight="1">
      <c r="A28" s="48"/>
      <c r="C28" s="185" t="s">
        <v>70</v>
      </c>
      <c r="D28" s="180">
        <f>IF(M3="NO",0,IF(Z3=3,D24,VLOOKUP(Z3,B13:D24,3,FALSE)))/2</f>
        <v>24600</v>
      </c>
      <c r="E28" s="180"/>
      <c r="F28" s="180"/>
      <c r="G28" s="180"/>
      <c r="H28" s="180">
        <f>IF(AND(Z3&gt;3,Z3&lt;9),ROUND(17%*D28,0),ROUND(17%*D28,0))</f>
        <v>4182</v>
      </c>
      <c r="I28" s="180"/>
      <c r="J28" s="175"/>
      <c r="K28" s="180"/>
      <c r="L28" s="180"/>
      <c r="M28" s="180"/>
      <c r="N28" s="176">
        <f>SUM(D28:M28)</f>
        <v>28782</v>
      </c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7">
        <f t="shared" si="8"/>
        <v>0</v>
      </c>
      <c r="AE28" s="178">
        <f t="shared" si="9"/>
        <v>28782</v>
      </c>
      <c r="AF28" s="175"/>
    </row>
    <row r="29" spans="1:36" s="23" customFormat="1" ht="19" customHeight="1">
      <c r="A29" s="48"/>
      <c r="C29" s="185" t="s">
        <v>71</v>
      </c>
      <c r="D29" s="175">
        <f>IF(AC5="Yes",6774,0)</f>
        <v>6774</v>
      </c>
      <c r="E29" s="180"/>
      <c r="F29" s="180"/>
      <c r="G29" s="180"/>
      <c r="H29" s="180"/>
      <c r="I29" s="180"/>
      <c r="J29" s="175"/>
      <c r="K29" s="180"/>
      <c r="L29" s="180"/>
      <c r="M29" s="180"/>
      <c r="N29" s="176">
        <f>SUM(D29:M29)</f>
        <v>6774</v>
      </c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>
        <f>IF($AC$2="Yes",ROUND(D29*75/100,0),IF($AC$2="YES",D29,0))</f>
        <v>5081</v>
      </c>
      <c r="AB29" s="175"/>
      <c r="AC29" s="175"/>
      <c r="AD29" s="177">
        <f t="shared" si="8"/>
        <v>5081</v>
      </c>
      <c r="AE29" s="178">
        <f t="shared" si="9"/>
        <v>1693</v>
      </c>
      <c r="AF29" s="175"/>
    </row>
    <row r="30" spans="1:36" s="23" customFormat="1" ht="24" customHeight="1">
      <c r="A30" s="48"/>
      <c r="C30" s="186" t="s">
        <v>86</v>
      </c>
      <c r="D30" s="175"/>
      <c r="E30" s="175"/>
      <c r="F30" s="175"/>
      <c r="G30" s="175"/>
      <c r="H30" s="175"/>
      <c r="I30" s="175"/>
      <c r="J30" s="175">
        <f t="shared" si="12"/>
        <v>0</v>
      </c>
      <c r="K30" s="175"/>
      <c r="L30" s="175"/>
      <c r="M30" s="175"/>
      <c r="N30" s="181">
        <f>SUM(D30:M30)</f>
        <v>0</v>
      </c>
      <c r="O30" s="175">
        <f t="shared" si="13"/>
        <v>0</v>
      </c>
      <c r="P30" s="175">
        <f t="shared" si="14"/>
        <v>0</v>
      </c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7">
        <f t="shared" si="8"/>
        <v>0</v>
      </c>
      <c r="AE30" s="182">
        <f t="shared" si="9"/>
        <v>0</v>
      </c>
      <c r="AF30" s="175"/>
    </row>
    <row r="31" spans="1:36" s="23" customFormat="1" ht="24" customHeight="1">
      <c r="A31" s="48"/>
      <c r="C31" s="186" t="s">
        <v>170</v>
      </c>
      <c r="D31" s="175"/>
      <c r="E31" s="175"/>
      <c r="F31" s="175"/>
      <c r="G31" s="175"/>
      <c r="H31" s="175"/>
      <c r="I31" s="175"/>
      <c r="J31" s="175">
        <f t="shared" si="12"/>
        <v>0</v>
      </c>
      <c r="K31" s="175"/>
      <c r="L31" s="175"/>
      <c r="M31" s="175"/>
      <c r="N31" s="181"/>
      <c r="O31" s="175">
        <f t="shared" si="13"/>
        <v>0</v>
      </c>
      <c r="P31" s="175">
        <f t="shared" si="14"/>
        <v>0</v>
      </c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7">
        <f t="shared" si="8"/>
        <v>0</v>
      </c>
      <c r="AE31" s="182">
        <f t="shared" ref="AE31:AE33" si="26">N31-AD31</f>
        <v>0</v>
      </c>
      <c r="AF31" s="175"/>
    </row>
    <row r="32" spans="1:36" s="23" customFormat="1" ht="24" customHeight="1">
      <c r="A32" s="48"/>
      <c r="C32" s="186" t="s">
        <v>171</v>
      </c>
      <c r="D32" s="175"/>
      <c r="E32" s="175"/>
      <c r="F32" s="175"/>
      <c r="G32" s="175"/>
      <c r="H32" s="175"/>
      <c r="I32" s="175"/>
      <c r="J32" s="175">
        <f t="shared" si="12"/>
        <v>0</v>
      </c>
      <c r="K32" s="175"/>
      <c r="L32" s="175"/>
      <c r="M32" s="175"/>
      <c r="N32" s="181"/>
      <c r="O32" s="175">
        <f t="shared" si="13"/>
        <v>0</v>
      </c>
      <c r="P32" s="175">
        <f t="shared" si="14"/>
        <v>0</v>
      </c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7">
        <f t="shared" si="8"/>
        <v>0</v>
      </c>
      <c r="AE32" s="182">
        <f t="shared" si="26"/>
        <v>0</v>
      </c>
      <c r="AF32" s="175"/>
    </row>
    <row r="33" spans="1:39" s="23" customFormat="1" ht="24" customHeight="1">
      <c r="A33" s="48"/>
      <c r="C33" s="186" t="s">
        <v>194</v>
      </c>
      <c r="D33" s="175"/>
      <c r="E33" s="175"/>
      <c r="F33" s="175"/>
      <c r="G33" s="175"/>
      <c r="H33" s="175"/>
      <c r="I33" s="175"/>
      <c r="J33" s="175">
        <f t="shared" si="12"/>
        <v>0</v>
      </c>
      <c r="K33" s="175"/>
      <c r="L33" s="175"/>
      <c r="M33" s="175"/>
      <c r="N33" s="181">
        <f>SUM(D33:M33)</f>
        <v>0</v>
      </c>
      <c r="O33" s="175">
        <f t="shared" si="13"/>
        <v>0</v>
      </c>
      <c r="P33" s="175">
        <f t="shared" si="14"/>
        <v>0</v>
      </c>
      <c r="Q33" s="175"/>
      <c r="R33" s="175"/>
      <c r="S33" s="175"/>
      <c r="T33" s="175"/>
      <c r="U33" s="175"/>
      <c r="V33" s="175"/>
      <c r="W33" s="175"/>
      <c r="X33" s="175"/>
      <c r="Y33" s="175"/>
      <c r="Z33" s="175">
        <f t="shared" ref="Z33" si="27">ROUNDUP(N33*0.2,-1)</f>
        <v>0</v>
      </c>
      <c r="AA33" s="175">
        <f t="shared" ref="AA33:AC33" si="28">AA30</f>
        <v>0</v>
      </c>
      <c r="AB33" s="175"/>
      <c r="AC33" s="175">
        <f t="shared" si="28"/>
        <v>0</v>
      </c>
      <c r="AD33" s="177">
        <f t="shared" si="8"/>
        <v>0</v>
      </c>
      <c r="AE33" s="182">
        <f t="shared" si="26"/>
        <v>0</v>
      </c>
      <c r="AF33" s="175"/>
    </row>
    <row r="34" spans="1:39" s="24" customFormat="1" ht="84" customHeight="1">
      <c r="A34" s="49"/>
      <c r="C34" s="183" t="s">
        <v>61</v>
      </c>
      <c r="D34" s="200">
        <f t="shared" ref="D34:AE34" si="29">SUM(D13:D33)</f>
        <v>591503</v>
      </c>
      <c r="E34" s="200">
        <f t="shared" si="29"/>
        <v>0</v>
      </c>
      <c r="F34" s="200">
        <f t="shared" si="29"/>
        <v>0</v>
      </c>
      <c r="G34" s="200">
        <f t="shared" si="29"/>
        <v>0</v>
      </c>
      <c r="H34" s="200">
        <f t="shared" si="29"/>
        <v>119719</v>
      </c>
      <c r="I34" s="200">
        <f t="shared" si="29"/>
        <v>44810</v>
      </c>
      <c r="J34" s="200">
        <f t="shared" si="29"/>
        <v>67565</v>
      </c>
      <c r="K34" s="200">
        <f t="shared" si="29"/>
        <v>0</v>
      </c>
      <c r="L34" s="200">
        <f t="shared" si="29"/>
        <v>0</v>
      </c>
      <c r="M34" s="200">
        <f t="shared" si="29"/>
        <v>0</v>
      </c>
      <c r="N34" s="200">
        <f t="shared" si="29"/>
        <v>823597</v>
      </c>
      <c r="O34" s="200">
        <f t="shared" si="29"/>
        <v>67565</v>
      </c>
      <c r="P34" s="200">
        <f t="shared" si="29"/>
        <v>67565</v>
      </c>
      <c r="Q34" s="200">
        <f t="shared" si="29"/>
        <v>0</v>
      </c>
      <c r="R34" s="200">
        <f t="shared" si="29"/>
        <v>24200</v>
      </c>
      <c r="S34" s="200">
        <f t="shared" si="29"/>
        <v>2200</v>
      </c>
      <c r="T34" s="200">
        <f t="shared" si="29"/>
        <v>0</v>
      </c>
      <c r="U34" s="200">
        <f t="shared" si="29"/>
        <v>0</v>
      </c>
      <c r="V34" s="200">
        <f t="shared" si="29"/>
        <v>36276</v>
      </c>
      <c r="W34" s="201">
        <f t="shared" si="29"/>
        <v>220</v>
      </c>
      <c r="X34" s="200">
        <f t="shared" si="29"/>
        <v>0</v>
      </c>
      <c r="Y34" s="200">
        <f t="shared" si="29"/>
        <v>0</v>
      </c>
      <c r="Z34" s="200">
        <f t="shared" si="29"/>
        <v>0</v>
      </c>
      <c r="AA34" s="200">
        <f t="shared" si="29"/>
        <v>5081</v>
      </c>
      <c r="AB34" s="200">
        <f t="shared" si="29"/>
        <v>250</v>
      </c>
      <c r="AC34" s="200">
        <f t="shared" si="29"/>
        <v>8660</v>
      </c>
      <c r="AD34" s="201">
        <f t="shared" si="29"/>
        <v>212017</v>
      </c>
      <c r="AE34" s="201">
        <f t="shared" si="29"/>
        <v>611580</v>
      </c>
      <c r="AF34" s="184"/>
      <c r="AM34" s="23"/>
    </row>
    <row r="35" spans="1:39" s="7" customFormat="1" ht="13">
      <c r="A35" s="50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M35" s="23"/>
    </row>
    <row r="36" spans="1:39" s="7" customFormat="1" ht="13">
      <c r="A36" s="50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M36" s="23"/>
    </row>
    <row r="37" spans="1:39" s="7" customFormat="1" ht="13">
      <c r="A37" s="50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M37" s="23"/>
    </row>
    <row r="38" spans="1:39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M38" s="23"/>
    </row>
    <row r="39" spans="1:39" ht="13">
      <c r="C39" s="3"/>
      <c r="D39" s="3"/>
      <c r="E39" s="2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27" t="s">
        <v>63</v>
      </c>
      <c r="AF39" s="3"/>
      <c r="AM39" s="23"/>
    </row>
    <row r="40" spans="1:39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</row>
    <row r="41" spans="1:39" ht="13"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15"/>
      <c r="Z41" s="215"/>
      <c r="AA41" s="215"/>
      <c r="AB41" s="215"/>
      <c r="AC41" s="215"/>
      <c r="AD41" s="215"/>
      <c r="AE41" s="215"/>
      <c r="AF41" s="215"/>
    </row>
    <row r="42" spans="1:39" ht="0.65" customHeight="1"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  <c r="Q42" s="192"/>
      <c r="R42" s="192"/>
      <c r="S42" s="192"/>
      <c r="T42" s="192"/>
      <c r="U42" s="192"/>
      <c r="V42" s="192"/>
      <c r="W42" s="192"/>
      <c r="X42" s="192"/>
      <c r="Y42" s="192"/>
      <c r="Z42" s="192"/>
      <c r="AA42" s="192"/>
      <c r="AB42" s="192"/>
      <c r="AC42" s="192"/>
      <c r="AD42" s="192"/>
      <c r="AE42" s="192"/>
      <c r="AF42" s="192"/>
    </row>
    <row r="43" spans="1:39" hidden="1"/>
    <row r="44" spans="1:39" hidden="1"/>
    <row r="45" spans="1:39" hidden="1"/>
    <row r="46" spans="1:39" hidden="1"/>
    <row r="47" spans="1:39" hidden="1"/>
    <row r="48" spans="1:39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C12" sheet="1" objects="1" scenarios="1"/>
  <autoFilter ref="A8:AG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hiddenButton="1" showButton="0"/>
    <filterColumn colId="10" showButton="0"/>
    <filterColumn colId="11" showButton="0"/>
    <filterColumn colId="12" showButton="0"/>
    <filterColumn colId="13" showButton="0"/>
    <filterColumn colId="14" hiddenButton="1" showButton="0"/>
    <filterColumn colId="15" showButton="0"/>
    <filterColumn colId="16" showButton="0"/>
    <filterColumn colId="17" showButton="0"/>
    <filterColumn colId="18" hiddenButton="1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hiddenButton="1" showButton="0"/>
    <filterColumn colId="28" showButton="0"/>
    <filterColumn colId="29" showButton="0"/>
    <filterColumn colId="30" showButton="0"/>
  </autoFilter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5">
    <mergeCell ref="C1:C7"/>
    <mergeCell ref="Z4:AA4"/>
    <mergeCell ref="AC2:AD2"/>
    <mergeCell ref="W6:AB6"/>
    <mergeCell ref="D2:Y2"/>
    <mergeCell ref="N6:T6"/>
    <mergeCell ref="L6:M6"/>
    <mergeCell ref="D3:L3"/>
    <mergeCell ref="Z3:AA3"/>
    <mergeCell ref="N3:Y3"/>
    <mergeCell ref="D4:L4"/>
    <mergeCell ref="N4:Y4"/>
    <mergeCell ref="C41:AF41"/>
    <mergeCell ref="Q5:R5"/>
    <mergeCell ref="AC5:AD5"/>
    <mergeCell ref="T5:Y5"/>
    <mergeCell ref="D5:M5"/>
    <mergeCell ref="AC11:AD11"/>
    <mergeCell ref="AE11:AF11"/>
    <mergeCell ref="C8:AF8"/>
    <mergeCell ref="C9:AF9"/>
    <mergeCell ref="AE10:AF10"/>
    <mergeCell ref="AC10:AD10"/>
    <mergeCell ref="AC6:AF7"/>
    <mergeCell ref="D6:H6"/>
    <mergeCell ref="C10:C11"/>
    <mergeCell ref="I10:N10"/>
    <mergeCell ref="I11:N11"/>
    <mergeCell ref="D10:H11"/>
    <mergeCell ref="P11:T11"/>
    <mergeCell ref="U10:V10"/>
    <mergeCell ref="W10:AB10"/>
    <mergeCell ref="U11:V11"/>
    <mergeCell ref="W11:AB11"/>
    <mergeCell ref="P10:T10"/>
  </mergeCells>
  <phoneticPr fontId="0" type="noConversion"/>
  <conditionalFormatting sqref="AC13 N26:AC26 D13:AB33 AA14:AC33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C5 Q5 AC2 M3:M4">
      <formula1>"Yes,No"</formula1>
    </dataValidation>
    <dataValidation type="list" allowBlank="1" showInputMessage="1" showErrorMessage="1" sqref="Z3:AB4">
      <formula1>"4,5,6,7,8,9,10,11,12,1,2,3"</formula1>
    </dataValidation>
    <dataValidation type="list" allowBlank="1" showInputMessage="1" showErrorMessage="1" sqref="AF5">
      <formula1>"8%,16%"</formula1>
    </dataValidation>
    <dataValidation type="list" allowBlank="1" showInputMessage="1" showErrorMessage="1" sqref="W6:W7 X7:AB7">
      <formula1>$AJ$13:$AJ$18</formula1>
    </dataValidation>
  </dataValidations>
  <printOptions horizontalCentered="1"/>
  <pageMargins left="0.4" right="0.4" top="0.38" bottom="0.75" header="0.3" footer="0.4"/>
  <pageSetup scale="55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E12" sqref="E12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44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245" t="s">
        <v>147</v>
      </c>
      <c r="B1" s="245"/>
      <c r="C1" s="245"/>
      <c r="D1" s="245"/>
      <c r="E1" s="245"/>
      <c r="F1" s="245"/>
    </row>
    <row r="2" spans="1:122" ht="27.75" customHeight="1">
      <c r="A2" s="246" t="str">
        <f>'Master Data'!D10&amp; " ,   " &amp;'Master Data'!I10&amp;"                         PAN-  "&amp;'Master Data'!Q10</f>
        <v xml:space="preserve">PARMANAND MEGHWAL ,   DESIGNATION                         PAN-  </v>
      </c>
      <c r="B2" s="246"/>
      <c r="C2" s="246"/>
      <c r="D2" s="246"/>
      <c r="E2" s="246"/>
      <c r="F2" s="246"/>
    </row>
    <row r="3" spans="1:122" ht="15" customHeight="1">
      <c r="A3" s="71" t="s">
        <v>122</v>
      </c>
      <c r="B3" s="72">
        <v>0</v>
      </c>
      <c r="C3" s="73"/>
      <c r="D3" s="74" t="s">
        <v>174</v>
      </c>
      <c r="E3" s="72">
        <v>0</v>
      </c>
      <c r="F3" s="67" t="s">
        <v>182</v>
      </c>
      <c r="DR3" s="5" t="s">
        <v>18</v>
      </c>
    </row>
    <row r="4" spans="1:122" ht="16.5">
      <c r="A4" s="77" t="s">
        <v>123</v>
      </c>
      <c r="B4" s="78">
        <v>0</v>
      </c>
      <c r="C4" s="79"/>
      <c r="D4" s="80" t="s">
        <v>156</v>
      </c>
      <c r="E4" s="78">
        <v>0</v>
      </c>
      <c r="F4" s="67">
        <f>'Master Data'!N34-'Master Data'!I34</f>
        <v>778787</v>
      </c>
      <c r="DR4" s="5"/>
    </row>
    <row r="5" spans="1:122" ht="15" customHeight="1">
      <c r="A5" s="71" t="s">
        <v>124</v>
      </c>
      <c r="B5" s="72">
        <v>0</v>
      </c>
      <c r="C5" s="73"/>
      <c r="D5" s="75" t="s">
        <v>150</v>
      </c>
      <c r="E5" s="72">
        <v>0</v>
      </c>
      <c r="F5" s="68" t="s">
        <v>26</v>
      </c>
      <c r="DR5" s="5"/>
    </row>
    <row r="6" spans="1:122" ht="17.25" customHeight="1">
      <c r="A6" s="81" t="s">
        <v>125</v>
      </c>
      <c r="B6" s="78">
        <v>0</v>
      </c>
      <c r="C6" s="79"/>
      <c r="D6" s="80" t="s">
        <v>159</v>
      </c>
      <c r="E6" s="78">
        <v>0</v>
      </c>
      <c r="F6" s="68">
        <f>'Tax Calculation (Old)'!Q47</f>
        <v>561830</v>
      </c>
      <c r="DR6" s="5"/>
    </row>
    <row r="7" spans="1:122" ht="15" customHeight="1">
      <c r="A7" s="71" t="s">
        <v>126</v>
      </c>
      <c r="B7" s="72">
        <v>0</v>
      </c>
      <c r="C7" s="73"/>
      <c r="D7" s="76" t="s">
        <v>160</v>
      </c>
      <c r="E7" s="72">
        <v>0</v>
      </c>
      <c r="F7" s="69" t="s">
        <v>69</v>
      </c>
      <c r="DR7" s="5"/>
    </row>
    <row r="8" spans="1:122" ht="15" customHeight="1">
      <c r="A8" s="82" t="s">
        <v>127</v>
      </c>
      <c r="B8" s="83">
        <v>0</v>
      </c>
      <c r="C8" s="79"/>
      <c r="D8" s="80" t="s">
        <v>161</v>
      </c>
      <c r="E8" s="83">
        <v>0</v>
      </c>
      <c r="F8" s="70">
        <f>'Master Data'!Z34</f>
        <v>0</v>
      </c>
      <c r="DR8" s="5"/>
    </row>
    <row r="9" spans="1:122" ht="15" customHeight="1">
      <c r="A9" s="71" t="s">
        <v>128</v>
      </c>
      <c r="B9" s="72">
        <v>0</v>
      </c>
      <c r="C9" s="73"/>
      <c r="D9" s="75" t="s">
        <v>162</v>
      </c>
      <c r="E9" s="72">
        <v>0</v>
      </c>
      <c r="F9" s="247" t="s">
        <v>109</v>
      </c>
      <c r="DR9" s="5"/>
    </row>
    <row r="10" spans="1:122" ht="15" customHeight="1">
      <c r="A10" s="82" t="s">
        <v>129</v>
      </c>
      <c r="B10" s="83">
        <v>0</v>
      </c>
      <c r="C10" s="79"/>
      <c r="D10" s="84" t="s">
        <v>191</v>
      </c>
      <c r="E10" s="83">
        <v>0</v>
      </c>
      <c r="F10" s="247"/>
      <c r="DR10" s="5" t="s">
        <v>19</v>
      </c>
    </row>
    <row r="11" spans="1:122" ht="15" customHeight="1">
      <c r="A11" s="71" t="s">
        <v>130</v>
      </c>
      <c r="B11" s="72">
        <v>0</v>
      </c>
      <c r="C11" s="73"/>
      <c r="D11" s="75" t="s">
        <v>163</v>
      </c>
      <c r="E11" s="72">
        <v>0</v>
      </c>
      <c r="F11" s="247"/>
      <c r="DR11" s="5" t="s">
        <v>21</v>
      </c>
    </row>
    <row r="12" spans="1:122" ht="15" customHeight="1">
      <c r="A12" s="82" t="s">
        <v>131</v>
      </c>
      <c r="B12" s="83">
        <v>0</v>
      </c>
      <c r="C12" s="79"/>
      <c r="D12" s="84" t="s">
        <v>164</v>
      </c>
      <c r="E12" s="83">
        <f>'Master Data'!AC34</f>
        <v>8660</v>
      </c>
      <c r="F12" s="68">
        <f>'Tax Calculation (Old)'!Q31</f>
        <v>135542</v>
      </c>
      <c r="DR12" s="5" t="s">
        <v>4</v>
      </c>
    </row>
    <row r="13" spans="1:122" ht="15" customHeight="1">
      <c r="A13" s="71" t="s">
        <v>132</v>
      </c>
      <c r="B13" s="72">
        <v>0</v>
      </c>
      <c r="C13" s="73"/>
      <c r="D13" s="75" t="s">
        <v>165</v>
      </c>
      <c r="E13" s="72">
        <v>0</v>
      </c>
      <c r="F13" s="68"/>
      <c r="DR13" s="5"/>
    </row>
    <row r="14" spans="1:122" ht="15" customHeight="1">
      <c r="A14" s="82" t="s">
        <v>133</v>
      </c>
      <c r="B14" s="83">
        <v>0</v>
      </c>
      <c r="C14" s="79"/>
      <c r="D14" s="84" t="s">
        <v>157</v>
      </c>
      <c r="E14" s="83">
        <v>0</v>
      </c>
      <c r="F14" s="248" t="s">
        <v>8</v>
      </c>
      <c r="DR14" s="5" t="s">
        <v>0</v>
      </c>
    </row>
    <row r="15" spans="1:122" ht="15" customHeight="1">
      <c r="A15" s="71" t="s">
        <v>134</v>
      </c>
      <c r="B15" s="72">
        <v>0</v>
      </c>
      <c r="C15" s="73"/>
      <c r="D15" s="75" t="s">
        <v>166</v>
      </c>
      <c r="E15" s="72">
        <v>0</v>
      </c>
      <c r="F15" s="248"/>
      <c r="DR15" s="5" t="s">
        <v>21</v>
      </c>
    </row>
    <row r="16" spans="1:122" ht="15" customHeight="1">
      <c r="A16" s="82" t="s">
        <v>135</v>
      </c>
      <c r="B16" s="83">
        <v>0</v>
      </c>
      <c r="C16" s="79"/>
      <c r="D16" s="84" t="s">
        <v>167</v>
      </c>
      <c r="E16" s="83">
        <v>0</v>
      </c>
      <c r="F16" s="248"/>
      <c r="DR16" s="5" t="s">
        <v>22</v>
      </c>
    </row>
    <row r="17" spans="1:122" ht="15" customHeight="1">
      <c r="A17" s="71" t="s">
        <v>136</v>
      </c>
      <c r="B17" s="72">
        <v>0</v>
      </c>
      <c r="C17" s="73"/>
      <c r="D17" s="75" t="s">
        <v>168</v>
      </c>
      <c r="E17" s="72">
        <v>0</v>
      </c>
      <c r="F17" s="251">
        <f>ROUND((F4*10%+F19),0)</f>
        <v>122689</v>
      </c>
      <c r="DR17" s="5" t="s">
        <v>5</v>
      </c>
    </row>
    <row r="18" spans="1:122" ht="15" customHeight="1">
      <c r="A18" s="82" t="s">
        <v>149</v>
      </c>
      <c r="B18" s="83">
        <v>0</v>
      </c>
      <c r="C18" s="79"/>
      <c r="D18" s="84" t="s">
        <v>158</v>
      </c>
      <c r="E18" s="83">
        <v>0</v>
      </c>
      <c r="F18" s="251"/>
      <c r="DR18" s="5" t="s">
        <v>23</v>
      </c>
    </row>
    <row r="19" spans="1:122" ht="15" customHeight="1">
      <c r="A19" s="250" t="str">
        <f>'Tax Calculation (Old)'!B63</f>
        <v>Income Tax Payable</v>
      </c>
      <c r="B19" s="250"/>
      <c r="C19" s="62"/>
      <c r="D19" s="63">
        <f>'Tax Calculation (Old)'!Q63</f>
        <v>25861</v>
      </c>
      <c r="E19" s="85" t="s">
        <v>148</v>
      </c>
      <c r="F19" s="66">
        <f>'Master Data'!I34</f>
        <v>44810</v>
      </c>
      <c r="DR19" s="5" t="s">
        <v>7</v>
      </c>
    </row>
    <row r="20" spans="1:122" ht="15" customHeight="1">
      <c r="A20" s="249" t="str">
        <f>"Total Rebate of (US 80C, 80CCC,80CCD(1)) =  "&amp;'Tax Calculation (Old)'!Q31</f>
        <v>Total Rebate of (US 80C, 80CCC,80CCD(1)) =  135542</v>
      </c>
      <c r="B20" s="249"/>
      <c r="C20" s="2"/>
      <c r="D20" s="45" t="str">
        <f>"Investable Amount = "&amp;(150000-'Tax Calculation (Old)'!Q31)</f>
        <v>Investable Amount = 14458</v>
      </c>
      <c r="E20" s="2"/>
      <c r="F20" s="2"/>
      <c r="DR20" s="5" t="s">
        <v>20</v>
      </c>
    </row>
    <row r="21" spans="1:122" ht="48" customHeight="1">
      <c r="A21" s="243" t="s">
        <v>209</v>
      </c>
      <c r="B21" s="244"/>
      <c r="C21" s="244"/>
      <c r="D21" s="244"/>
      <c r="E21" s="244"/>
      <c r="F21" s="244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workbookViewId="0">
      <selection activeCell="Q5" sqref="Q5"/>
    </sheetView>
  </sheetViews>
  <sheetFormatPr defaultColWidth="0" defaultRowHeight="15.5" zeroHeight="1"/>
  <cols>
    <col min="1" max="1" width="3" customWidth="1" collapsed="1"/>
    <col min="2" max="2" width="2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8164062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" style="14" customWidth="1" collapsed="1"/>
    <col min="16" max="16" width="2.81640625" style="16" bestFit="1" customWidth="1" collapsed="1"/>
    <col min="17" max="17" width="18" style="17" customWidth="1" collapsed="1"/>
    <col min="18" max="18" width="2.453125" customWidth="1" collapsed="1"/>
    <col min="19" max="16384" width="9.1796875" hidden="1" collapsed="1"/>
  </cols>
  <sheetData>
    <row r="1" spans="1:18" s="20" customFormat="1" ht="18.5">
      <c r="A1" s="139"/>
      <c r="B1" s="327" t="str">
        <f>'Master Data'!C8</f>
        <v>GOVT SR. SEC SCHOOL DILOD HATHI, ATRU BARAN</v>
      </c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  <c r="R1" s="139"/>
    </row>
    <row r="2" spans="1:18" s="20" customFormat="1" ht="21" thickBot="1">
      <c r="A2" s="139"/>
      <c r="B2" s="328" t="s">
        <v>195</v>
      </c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139"/>
    </row>
    <row r="3" spans="1:18" s="20" customFormat="1" ht="15" customHeight="1">
      <c r="A3" s="139"/>
      <c r="B3" s="140">
        <v>1</v>
      </c>
      <c r="C3" s="329" t="s">
        <v>10</v>
      </c>
      <c r="D3" s="330"/>
      <c r="E3" s="336" t="str">
        <f>'Master Data'!D10</f>
        <v>PARMANAND MEGHWAL</v>
      </c>
      <c r="F3" s="336"/>
      <c r="G3" s="336"/>
      <c r="H3" s="336"/>
      <c r="I3" s="336"/>
      <c r="J3" s="336"/>
      <c r="K3" s="141" t="s">
        <v>29</v>
      </c>
      <c r="L3" s="337" t="str">
        <f>'Master Data'!P10</f>
        <v>SENIOR TEACHER</v>
      </c>
      <c r="M3" s="337"/>
      <c r="N3" s="337"/>
      <c r="O3" s="142" t="s">
        <v>28</v>
      </c>
      <c r="P3" s="331" t="str">
        <f>IF('Master Data'!W10="","",'Master Data'!W10)</f>
        <v>ABCD1122D</v>
      </c>
      <c r="Q3" s="332"/>
      <c r="R3" s="139"/>
    </row>
    <row r="4" spans="1:18" s="20" customFormat="1" ht="15" customHeight="1">
      <c r="A4" s="139"/>
      <c r="B4" s="143">
        <v>2</v>
      </c>
      <c r="C4" s="333" t="s">
        <v>251</v>
      </c>
      <c r="D4" s="333"/>
      <c r="E4" s="254"/>
      <c r="F4" s="254"/>
      <c r="G4" s="254"/>
      <c r="H4" s="254"/>
      <c r="I4" s="254"/>
      <c r="J4" s="254"/>
      <c r="K4" s="333"/>
      <c r="L4" s="254"/>
      <c r="M4" s="254"/>
      <c r="N4" s="254"/>
      <c r="O4" s="333"/>
      <c r="P4" s="172" t="s">
        <v>11</v>
      </c>
      <c r="Q4" s="144">
        <f>'Master Data'!N34</f>
        <v>823597</v>
      </c>
      <c r="R4" s="139"/>
    </row>
    <row r="5" spans="1:18" s="20" customFormat="1" ht="15" customHeight="1">
      <c r="A5" s="139"/>
      <c r="B5" s="143">
        <v>3</v>
      </c>
      <c r="C5" s="254" t="s">
        <v>117</v>
      </c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172" t="s">
        <v>11</v>
      </c>
      <c r="Q5" s="145">
        <f>'Other Deduction'!B3</f>
        <v>0</v>
      </c>
      <c r="R5" s="139"/>
    </row>
    <row r="6" spans="1:18" s="20" customFormat="1" ht="15" customHeight="1">
      <c r="A6" s="139"/>
      <c r="B6" s="143">
        <v>4</v>
      </c>
      <c r="C6" s="262" t="s">
        <v>30</v>
      </c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172" t="s">
        <v>11</v>
      </c>
      <c r="Q6" s="145">
        <f>Q4-Q5</f>
        <v>823597</v>
      </c>
      <c r="R6" s="139"/>
    </row>
    <row r="7" spans="1:18" s="20" customFormat="1" ht="15" customHeight="1">
      <c r="A7" s="139"/>
      <c r="B7" s="272">
        <v>5</v>
      </c>
      <c r="C7" s="263" t="s">
        <v>72</v>
      </c>
      <c r="D7" s="264"/>
      <c r="E7" s="264"/>
      <c r="F7" s="264"/>
      <c r="G7" s="264"/>
      <c r="H7" s="264"/>
      <c r="I7" s="264"/>
      <c r="J7" s="264"/>
      <c r="K7" s="264"/>
      <c r="L7" s="264"/>
      <c r="M7" s="335">
        <f>'Other Deduction'!B4</f>
        <v>0</v>
      </c>
      <c r="N7" s="335"/>
      <c r="O7" s="335"/>
      <c r="P7" s="318"/>
      <c r="Q7" s="319"/>
      <c r="R7" s="139"/>
    </row>
    <row r="8" spans="1:18" s="20" customFormat="1" ht="15" customHeight="1">
      <c r="A8" s="139"/>
      <c r="B8" s="273"/>
      <c r="C8" s="263" t="s">
        <v>73</v>
      </c>
      <c r="D8" s="264"/>
      <c r="E8" s="264"/>
      <c r="F8" s="264"/>
      <c r="G8" s="264"/>
      <c r="H8" s="264"/>
      <c r="I8" s="264"/>
      <c r="J8" s="264"/>
      <c r="K8" s="264"/>
      <c r="L8" s="264"/>
      <c r="M8" s="335">
        <f>'Other Deduction'!B5</f>
        <v>0</v>
      </c>
      <c r="N8" s="335"/>
      <c r="O8" s="335"/>
      <c r="P8" s="322"/>
      <c r="Q8" s="323"/>
      <c r="R8" s="139"/>
    </row>
    <row r="9" spans="1:18" s="20" customFormat="1" ht="15" customHeight="1">
      <c r="A9" s="139"/>
      <c r="B9" s="274"/>
      <c r="C9" s="263" t="s">
        <v>181</v>
      </c>
      <c r="D9" s="264"/>
      <c r="E9" s="264"/>
      <c r="F9" s="264"/>
      <c r="G9" s="264"/>
      <c r="H9" s="264"/>
      <c r="I9" s="264"/>
      <c r="J9" s="264"/>
      <c r="K9" s="264"/>
      <c r="L9" s="264"/>
      <c r="M9" s="335">
        <f>IF(Q6&lt;50000,Q6,50000)</f>
        <v>50000</v>
      </c>
      <c r="N9" s="335"/>
      <c r="O9" s="335"/>
      <c r="P9" s="172" t="s">
        <v>11</v>
      </c>
      <c r="Q9" s="145">
        <f>SUM(M7:O9)</f>
        <v>50000</v>
      </c>
      <c r="R9" s="139"/>
    </row>
    <row r="10" spans="1:18" s="20" customFormat="1" ht="15" customHeight="1">
      <c r="A10" s="139"/>
      <c r="B10" s="143">
        <v>6</v>
      </c>
      <c r="C10" s="334" t="s">
        <v>12</v>
      </c>
      <c r="D10" s="334"/>
      <c r="E10" s="334"/>
      <c r="F10" s="334"/>
      <c r="G10" s="334"/>
      <c r="H10" s="334"/>
      <c r="I10" s="334"/>
      <c r="J10" s="334"/>
      <c r="K10" s="334"/>
      <c r="L10" s="334"/>
      <c r="M10" s="334"/>
      <c r="N10" s="334"/>
      <c r="O10" s="334"/>
      <c r="P10" s="172" t="s">
        <v>11</v>
      </c>
      <c r="Q10" s="145">
        <f>Q6-Q9</f>
        <v>773597</v>
      </c>
      <c r="R10" s="139"/>
    </row>
    <row r="11" spans="1:18" s="20" customFormat="1" ht="15" customHeight="1">
      <c r="A11" s="139"/>
      <c r="B11" s="338">
        <v>7</v>
      </c>
      <c r="C11" s="254" t="s">
        <v>31</v>
      </c>
      <c r="D11" s="254"/>
      <c r="E11" s="254"/>
      <c r="F11" s="254"/>
      <c r="G11" s="254"/>
      <c r="H11" s="254"/>
      <c r="I11" s="254"/>
      <c r="J11" s="254"/>
      <c r="K11" s="334" t="s">
        <v>32</v>
      </c>
      <c r="L11" s="334"/>
      <c r="M11" s="335">
        <f>'Other Deduction'!B6</f>
        <v>0</v>
      </c>
      <c r="N11" s="335"/>
      <c r="O11" s="335"/>
      <c r="P11" s="350"/>
      <c r="Q11" s="351"/>
      <c r="R11" s="139"/>
    </row>
    <row r="12" spans="1:18" s="20" customFormat="1" ht="15" customHeight="1">
      <c r="A12" s="139"/>
      <c r="B12" s="338"/>
      <c r="C12" s="345" t="s">
        <v>33</v>
      </c>
      <c r="D12" s="346"/>
      <c r="E12" s="342" t="s">
        <v>87</v>
      </c>
      <c r="F12" s="343"/>
      <c r="G12" s="344"/>
      <c r="H12" s="352" t="s">
        <v>13</v>
      </c>
      <c r="I12" s="352"/>
      <c r="J12" s="352"/>
      <c r="K12" s="334" t="s">
        <v>34</v>
      </c>
      <c r="L12" s="334"/>
      <c r="M12" s="334" t="s">
        <v>64</v>
      </c>
      <c r="N12" s="334"/>
      <c r="O12" s="334"/>
      <c r="P12" s="350"/>
      <c r="Q12" s="351"/>
      <c r="R12" s="139"/>
    </row>
    <row r="13" spans="1:18" s="20" customFormat="1" ht="15" customHeight="1">
      <c r="A13" s="139"/>
      <c r="B13" s="338"/>
      <c r="C13" s="347"/>
      <c r="D13" s="348"/>
      <c r="E13" s="339">
        <f>ROUND(M11*0.3,0)</f>
        <v>0</v>
      </c>
      <c r="F13" s="340"/>
      <c r="G13" s="341"/>
      <c r="H13" s="335">
        <f>IF(('Master Data'!Y34+'Other Deduction'!B9)&gt;200000,200000,('Master Data'!Y34+'Other Deduction'!B9))</f>
        <v>0</v>
      </c>
      <c r="I13" s="335"/>
      <c r="J13" s="335"/>
      <c r="K13" s="335">
        <f>'Other Deduction'!B7</f>
        <v>0</v>
      </c>
      <c r="L13" s="335"/>
      <c r="M13" s="335">
        <f>E13+H13+K13</f>
        <v>0</v>
      </c>
      <c r="N13" s="335"/>
      <c r="O13" s="335"/>
      <c r="P13" s="350"/>
      <c r="Q13" s="351"/>
      <c r="R13" s="139"/>
    </row>
    <row r="14" spans="1:18" s="20" customFormat="1" ht="15" customHeight="1">
      <c r="A14" s="139"/>
      <c r="B14" s="143"/>
      <c r="C14" s="334" t="s">
        <v>35</v>
      </c>
      <c r="D14" s="334"/>
      <c r="E14" s="334"/>
      <c r="F14" s="334"/>
      <c r="G14" s="334"/>
      <c r="H14" s="334"/>
      <c r="I14" s="334"/>
      <c r="J14" s="334"/>
      <c r="K14" s="334"/>
      <c r="L14" s="334"/>
      <c r="M14" s="334"/>
      <c r="N14" s="334"/>
      <c r="O14" s="334"/>
      <c r="P14" s="172" t="s">
        <v>11</v>
      </c>
      <c r="Q14" s="145">
        <f>M11-M13</f>
        <v>0</v>
      </c>
      <c r="R14" s="139"/>
    </row>
    <row r="15" spans="1:18" s="20" customFormat="1" ht="15" customHeight="1">
      <c r="A15" s="139"/>
      <c r="B15" s="143">
        <v>8</v>
      </c>
      <c r="C15" s="334" t="s">
        <v>65</v>
      </c>
      <c r="D15" s="334"/>
      <c r="E15" s="334"/>
      <c r="F15" s="334"/>
      <c r="G15" s="334"/>
      <c r="H15" s="334"/>
      <c r="I15" s="334"/>
      <c r="J15" s="334"/>
      <c r="K15" s="334"/>
      <c r="L15" s="334"/>
      <c r="M15" s="334"/>
      <c r="N15" s="334"/>
      <c r="O15" s="334"/>
      <c r="P15" s="172" t="s">
        <v>11</v>
      </c>
      <c r="Q15" s="145">
        <f>Q10+Q14</f>
        <v>773597</v>
      </c>
      <c r="R15" s="139"/>
    </row>
    <row r="16" spans="1:18" s="20" customFormat="1" ht="15" customHeight="1">
      <c r="A16" s="139"/>
      <c r="B16" s="143">
        <v>9</v>
      </c>
      <c r="C16" s="254" t="s">
        <v>27</v>
      </c>
      <c r="D16" s="254"/>
      <c r="E16" s="254"/>
      <c r="F16" s="254"/>
      <c r="G16" s="254"/>
      <c r="H16" s="254"/>
      <c r="I16" s="254"/>
      <c r="J16" s="254"/>
      <c r="K16" s="254"/>
      <c r="L16" s="254"/>
      <c r="M16" s="254"/>
      <c r="N16" s="254"/>
      <c r="O16" s="254"/>
      <c r="P16" s="172" t="s">
        <v>11</v>
      </c>
      <c r="Q16" s="145">
        <f>'Other Deduction'!E3+'Other Deduction'!E4</f>
        <v>0</v>
      </c>
      <c r="R16" s="139"/>
    </row>
    <row r="17" spans="1:18" s="20" customFormat="1" ht="15" customHeight="1">
      <c r="A17" s="139"/>
      <c r="B17" s="143">
        <v>10</v>
      </c>
      <c r="C17" s="254" t="s">
        <v>36</v>
      </c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172" t="s">
        <v>11</v>
      </c>
      <c r="Q17" s="144">
        <f>Q15+Q16</f>
        <v>773597</v>
      </c>
      <c r="R17" s="139"/>
    </row>
    <row r="18" spans="1:18" s="20" customFormat="1" ht="15" customHeight="1">
      <c r="A18" s="139"/>
      <c r="B18" s="272">
        <v>11</v>
      </c>
      <c r="C18" s="255" t="s">
        <v>118</v>
      </c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255"/>
      <c r="P18" s="255"/>
      <c r="Q18" s="275"/>
      <c r="R18" s="139"/>
    </row>
    <row r="19" spans="1:18" s="20" customFormat="1" ht="15" customHeight="1">
      <c r="A19" s="139"/>
      <c r="B19" s="273"/>
      <c r="C19" s="310" t="s">
        <v>103</v>
      </c>
      <c r="D19" s="310"/>
      <c r="E19" s="310"/>
      <c r="F19" s="310"/>
      <c r="G19" s="310"/>
      <c r="H19" s="310"/>
      <c r="I19" s="310"/>
      <c r="J19" s="310"/>
      <c r="K19" s="310"/>
      <c r="L19" s="310"/>
      <c r="M19" s="310"/>
      <c r="N19" s="310"/>
      <c r="O19" s="310"/>
      <c r="P19" s="310"/>
      <c r="Q19" s="311"/>
      <c r="R19" s="139"/>
    </row>
    <row r="20" spans="1:18" s="20" customFormat="1" ht="15" customHeight="1">
      <c r="A20" s="139"/>
      <c r="B20" s="273"/>
      <c r="C20" s="146" t="s">
        <v>37</v>
      </c>
      <c r="D20" s="254" t="s">
        <v>74</v>
      </c>
      <c r="E20" s="254"/>
      <c r="F20" s="254"/>
      <c r="G20" s="254"/>
      <c r="H20" s="172" t="s">
        <v>11</v>
      </c>
      <c r="I20" s="65">
        <f>'Master Data'!R34+'Master Data'!S34</f>
        <v>26400</v>
      </c>
      <c r="J20" s="146" t="s">
        <v>38</v>
      </c>
      <c r="K20" s="312" t="s">
        <v>111</v>
      </c>
      <c r="L20" s="312"/>
      <c r="M20" s="312"/>
      <c r="N20" s="172" t="s">
        <v>11</v>
      </c>
      <c r="O20" s="65">
        <f>IF('Master Data'!AC2="Yes",'Master Data'!P34,0)-Q33</f>
        <v>67565</v>
      </c>
      <c r="P20" s="318"/>
      <c r="Q20" s="319"/>
      <c r="R20" s="139"/>
    </row>
    <row r="21" spans="1:18" s="20" customFormat="1" ht="15" customHeight="1">
      <c r="A21" s="139"/>
      <c r="B21" s="273"/>
      <c r="C21" s="146" t="s">
        <v>39</v>
      </c>
      <c r="D21" s="254" t="s">
        <v>75</v>
      </c>
      <c r="E21" s="254"/>
      <c r="F21" s="254"/>
      <c r="G21" s="254"/>
      <c r="H21" s="172" t="s">
        <v>11</v>
      </c>
      <c r="I21" s="65">
        <f>'Master Data'!V34+'Other Deduction'!B10</f>
        <v>36276</v>
      </c>
      <c r="J21" s="146" t="s">
        <v>40</v>
      </c>
      <c r="K21" s="313" t="s">
        <v>41</v>
      </c>
      <c r="L21" s="313"/>
      <c r="M21" s="313"/>
      <c r="N21" s="172" t="s">
        <v>11</v>
      </c>
      <c r="O21" s="65">
        <f>'Other Deduction'!E6</f>
        <v>0</v>
      </c>
      <c r="P21" s="320"/>
      <c r="Q21" s="321"/>
      <c r="R21" s="139"/>
    </row>
    <row r="22" spans="1:18" s="20" customFormat="1" ht="15" customHeight="1">
      <c r="A22" s="139"/>
      <c r="B22" s="273"/>
      <c r="C22" s="146" t="s">
        <v>42</v>
      </c>
      <c r="D22" s="254" t="s">
        <v>76</v>
      </c>
      <c r="E22" s="254"/>
      <c r="F22" s="254"/>
      <c r="G22" s="254"/>
      <c r="H22" s="172" t="s">
        <v>11</v>
      </c>
      <c r="I22" s="65">
        <f>'Other Deduction'!B14</f>
        <v>0</v>
      </c>
      <c r="J22" s="146" t="s">
        <v>43</v>
      </c>
      <c r="K22" s="313" t="s">
        <v>17</v>
      </c>
      <c r="L22" s="313"/>
      <c r="M22" s="313"/>
      <c r="N22" s="172" t="s">
        <v>11</v>
      </c>
      <c r="O22" s="147">
        <f>'Other Deduction'!B15</f>
        <v>0</v>
      </c>
      <c r="P22" s="320"/>
      <c r="Q22" s="321"/>
      <c r="R22" s="139"/>
    </row>
    <row r="23" spans="1:18" s="20" customFormat="1" ht="15" customHeight="1">
      <c r="A23" s="139"/>
      <c r="B23" s="273"/>
      <c r="C23" s="146" t="s">
        <v>44</v>
      </c>
      <c r="D23" s="254" t="s">
        <v>77</v>
      </c>
      <c r="E23" s="254"/>
      <c r="F23" s="254"/>
      <c r="G23" s="254"/>
      <c r="H23" s="172" t="s">
        <v>11</v>
      </c>
      <c r="I23" s="65">
        <f>'Other Deduction'!B16</f>
        <v>0</v>
      </c>
      <c r="J23" s="146" t="s">
        <v>45</v>
      </c>
      <c r="K23" s="313" t="s">
        <v>104</v>
      </c>
      <c r="L23" s="313"/>
      <c r="M23" s="313"/>
      <c r="N23" s="172" t="s">
        <v>11</v>
      </c>
      <c r="O23" s="147">
        <f>'Other Deduction'!B12</f>
        <v>0</v>
      </c>
      <c r="P23" s="320"/>
      <c r="Q23" s="321"/>
      <c r="R23" s="139"/>
    </row>
    <row r="24" spans="1:18" s="20" customFormat="1" ht="15" customHeight="1">
      <c r="A24" s="139"/>
      <c r="B24" s="273"/>
      <c r="C24" s="146" t="s">
        <v>46</v>
      </c>
      <c r="D24" s="254" t="s">
        <v>78</v>
      </c>
      <c r="E24" s="254"/>
      <c r="F24" s="254"/>
      <c r="G24" s="254"/>
      <c r="H24" s="172" t="s">
        <v>11</v>
      </c>
      <c r="I24" s="65">
        <f>'Other Deduction'!B17</f>
        <v>0</v>
      </c>
      <c r="J24" s="146" t="s">
        <v>47</v>
      </c>
      <c r="K24" s="313" t="s">
        <v>107</v>
      </c>
      <c r="L24" s="313"/>
      <c r="M24" s="313"/>
      <c r="N24" s="172" t="s">
        <v>11</v>
      </c>
      <c r="O24" s="65">
        <f>'Other Deduction'!E15</f>
        <v>0</v>
      </c>
      <c r="P24" s="320"/>
      <c r="Q24" s="321"/>
      <c r="R24" s="139"/>
    </row>
    <row r="25" spans="1:18" s="20" customFormat="1" ht="15" customHeight="1">
      <c r="A25" s="139"/>
      <c r="B25" s="273"/>
      <c r="C25" s="146" t="s">
        <v>48</v>
      </c>
      <c r="D25" s="254" t="s">
        <v>79</v>
      </c>
      <c r="E25" s="254"/>
      <c r="F25" s="254"/>
      <c r="G25" s="254"/>
      <c r="H25" s="172" t="s">
        <v>11</v>
      </c>
      <c r="I25" s="65">
        <f>IF('Master Data'!AC2="No",'Master Data'!P34,0)</f>
        <v>0</v>
      </c>
      <c r="J25" s="146" t="s">
        <v>49</v>
      </c>
      <c r="K25" s="313" t="s">
        <v>106</v>
      </c>
      <c r="L25" s="313"/>
      <c r="M25" s="313"/>
      <c r="N25" s="172" t="s">
        <v>11</v>
      </c>
      <c r="O25" s="65">
        <f>'Other Deduction'!E16</f>
        <v>0</v>
      </c>
      <c r="P25" s="320"/>
      <c r="Q25" s="321"/>
      <c r="R25" s="139"/>
    </row>
    <row r="26" spans="1:18" s="20" customFormat="1" ht="15" customHeight="1">
      <c r="A26" s="139"/>
      <c r="B26" s="273"/>
      <c r="C26" s="146" t="s">
        <v>50</v>
      </c>
      <c r="D26" s="254" t="s">
        <v>113</v>
      </c>
      <c r="E26" s="254"/>
      <c r="F26" s="254"/>
      <c r="G26" s="254"/>
      <c r="H26" s="172" t="s">
        <v>11</v>
      </c>
      <c r="I26" s="147">
        <f>IF(OR('Master Data'!W14=0,'Master Data'!W14=""),0,220)</f>
        <v>220</v>
      </c>
      <c r="J26" s="146" t="s">
        <v>51</v>
      </c>
      <c r="K26" s="317" t="s">
        <v>105</v>
      </c>
      <c r="L26" s="317"/>
      <c r="M26" s="317"/>
      <c r="N26" s="172" t="s">
        <v>11</v>
      </c>
      <c r="O26" s="65">
        <f>'Other Deduction'!B11</f>
        <v>0</v>
      </c>
      <c r="P26" s="320"/>
      <c r="Q26" s="321"/>
      <c r="R26" s="139"/>
    </row>
    <row r="27" spans="1:18" s="20" customFormat="1" ht="15" customHeight="1">
      <c r="A27" s="139"/>
      <c r="B27" s="273"/>
      <c r="C27" s="146" t="s">
        <v>52</v>
      </c>
      <c r="D27" s="254" t="s">
        <v>9</v>
      </c>
      <c r="E27" s="254"/>
      <c r="F27" s="254"/>
      <c r="G27" s="254"/>
      <c r="H27" s="172" t="s">
        <v>11</v>
      </c>
      <c r="I27" s="147">
        <f>'Other Deduction'!B13</f>
        <v>0</v>
      </c>
      <c r="J27" s="146" t="s">
        <v>53</v>
      </c>
      <c r="K27" s="317" t="s">
        <v>145</v>
      </c>
      <c r="L27" s="317"/>
      <c r="M27" s="317"/>
      <c r="N27" s="172" t="s">
        <v>11</v>
      </c>
      <c r="O27" s="65">
        <f>'Other Deduction'!E5</f>
        <v>0</v>
      </c>
      <c r="P27" s="320"/>
      <c r="Q27" s="321"/>
      <c r="R27" s="139"/>
    </row>
    <row r="28" spans="1:18" s="20" customFormat="1" ht="15" customHeight="1">
      <c r="A28" s="139"/>
      <c r="B28" s="273"/>
      <c r="C28" s="146" t="s">
        <v>54</v>
      </c>
      <c r="D28" s="254" t="s">
        <v>88</v>
      </c>
      <c r="E28" s="254"/>
      <c r="F28" s="254"/>
      <c r="G28" s="254"/>
      <c r="H28" s="172" t="s">
        <v>11</v>
      </c>
      <c r="I28" s="65">
        <f>'Master Data'!X34+'Other Deduction'!B8</f>
        <v>0</v>
      </c>
      <c r="J28" s="146" t="s">
        <v>151</v>
      </c>
      <c r="K28" s="317" t="s">
        <v>152</v>
      </c>
      <c r="L28" s="317"/>
      <c r="M28" s="317"/>
      <c r="N28" s="172" t="s">
        <v>11</v>
      </c>
      <c r="O28" s="65">
        <f>'Other Deduction'!B18</f>
        <v>0</v>
      </c>
      <c r="P28" s="320"/>
      <c r="Q28" s="321"/>
      <c r="R28" s="139"/>
    </row>
    <row r="29" spans="1:18" s="20" customFormat="1" ht="15" customHeight="1">
      <c r="A29" s="139"/>
      <c r="B29" s="273"/>
      <c r="C29" s="146" t="s">
        <v>216</v>
      </c>
      <c r="D29" s="266" t="s">
        <v>197</v>
      </c>
      <c r="E29" s="267"/>
      <c r="F29" s="267"/>
      <c r="G29" s="268"/>
      <c r="H29" s="172" t="s">
        <v>11</v>
      </c>
      <c r="I29" s="65">
        <f>IF('Master Data'!AC2="Yes",'Master Data'!AA34,0)</f>
        <v>5081</v>
      </c>
      <c r="J29" s="146"/>
      <c r="K29" s="269"/>
      <c r="L29" s="270"/>
      <c r="M29" s="271"/>
      <c r="N29" s="172" t="s">
        <v>11</v>
      </c>
      <c r="O29" s="65"/>
      <c r="P29" s="320"/>
      <c r="Q29" s="321"/>
      <c r="R29" s="139"/>
    </row>
    <row r="30" spans="1:18" s="20" customFormat="1" ht="15" customHeight="1">
      <c r="A30" s="139"/>
      <c r="B30" s="273"/>
      <c r="C30" s="314" t="s">
        <v>153</v>
      </c>
      <c r="D30" s="315"/>
      <c r="E30" s="315"/>
      <c r="F30" s="315"/>
      <c r="G30" s="315"/>
      <c r="H30" s="315"/>
      <c r="I30" s="315"/>
      <c r="J30" s="315"/>
      <c r="K30" s="315"/>
      <c r="L30" s="315"/>
      <c r="M30" s="316"/>
      <c r="N30" s="172" t="s">
        <v>11</v>
      </c>
      <c r="O30" s="148">
        <f>SUM(I20:I29)+SUM(O20:O29)</f>
        <v>135542</v>
      </c>
      <c r="P30" s="322"/>
      <c r="Q30" s="323"/>
      <c r="R30" s="139"/>
    </row>
    <row r="31" spans="1:18" s="20" customFormat="1" ht="15" customHeight="1">
      <c r="A31" s="139"/>
      <c r="B31" s="273"/>
      <c r="C31" s="262" t="s">
        <v>102</v>
      </c>
      <c r="D31" s="262"/>
      <c r="E31" s="262"/>
      <c r="F31" s="262"/>
      <c r="G31" s="262"/>
      <c r="H31" s="262"/>
      <c r="I31" s="262"/>
      <c r="J31" s="262"/>
      <c r="K31" s="262"/>
      <c r="L31" s="262"/>
      <c r="M31" s="262"/>
      <c r="N31" s="262"/>
      <c r="O31" s="262"/>
      <c r="P31" s="172" t="s">
        <v>11</v>
      </c>
      <c r="Q31" s="144">
        <f>IF(O30&lt;150001,ROUND(O30,0),150000)</f>
        <v>135542</v>
      </c>
      <c r="R31" s="139"/>
    </row>
    <row r="32" spans="1:18" s="20" customFormat="1" ht="15" customHeight="1">
      <c r="A32" s="139"/>
      <c r="B32" s="273"/>
      <c r="C32" s="324" t="s">
        <v>121</v>
      </c>
      <c r="D32" s="325"/>
      <c r="E32" s="325"/>
      <c r="F32" s="325"/>
      <c r="G32" s="325"/>
      <c r="H32" s="325"/>
      <c r="I32" s="325"/>
      <c r="J32" s="325"/>
      <c r="K32" s="325"/>
      <c r="L32" s="325"/>
      <c r="M32" s="325"/>
      <c r="N32" s="325"/>
      <c r="O32" s="326"/>
      <c r="P32" s="172"/>
      <c r="Q32" s="64">
        <f>IF('Master Data'!AC2="Yes",'Master Data'!P34,0)</f>
        <v>67565</v>
      </c>
      <c r="R32" s="139"/>
    </row>
    <row r="33" spans="1:18" s="20" customFormat="1" ht="15" customHeight="1">
      <c r="A33" s="139"/>
      <c r="B33" s="273"/>
      <c r="C33" s="259" t="s">
        <v>120</v>
      </c>
      <c r="D33" s="260"/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1"/>
      <c r="P33" s="172" t="s">
        <v>11</v>
      </c>
      <c r="Q33" s="145">
        <f>IF('Master Data'!AC2="Yes",'Other Deduction'!E7,0)</f>
        <v>0</v>
      </c>
      <c r="R33" s="139"/>
    </row>
    <row r="34" spans="1:18" s="20" customFormat="1" ht="15" customHeight="1">
      <c r="A34" s="139"/>
      <c r="B34" s="274"/>
      <c r="C34" s="262" t="s">
        <v>110</v>
      </c>
      <c r="D34" s="262"/>
      <c r="E34" s="262"/>
      <c r="F34" s="262"/>
      <c r="G34" s="262"/>
      <c r="H34" s="262"/>
      <c r="I34" s="262"/>
      <c r="J34" s="262"/>
      <c r="K34" s="262"/>
      <c r="L34" s="262"/>
      <c r="M34" s="262"/>
      <c r="N34" s="262"/>
      <c r="O34" s="262"/>
      <c r="P34" s="172" t="s">
        <v>11</v>
      </c>
      <c r="Q34" s="144">
        <f>SUM(Q31:Q33)</f>
        <v>203107</v>
      </c>
      <c r="R34" s="139"/>
    </row>
    <row r="35" spans="1:18" s="20" customFormat="1" ht="15" customHeight="1">
      <c r="A35" s="139"/>
      <c r="B35" s="272">
        <v>12</v>
      </c>
      <c r="C35" s="255" t="s">
        <v>119</v>
      </c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75"/>
      <c r="R35" s="139"/>
    </row>
    <row r="36" spans="1:18" s="20" customFormat="1" ht="15" customHeight="1">
      <c r="A36" s="139"/>
      <c r="B36" s="273"/>
      <c r="C36" s="276" t="s">
        <v>172</v>
      </c>
      <c r="D36" s="277"/>
      <c r="E36" s="277"/>
      <c r="F36" s="277"/>
      <c r="G36" s="277"/>
      <c r="H36" s="277"/>
      <c r="I36" s="277"/>
      <c r="J36" s="277"/>
      <c r="K36" s="277"/>
      <c r="L36" s="277"/>
      <c r="M36" s="277"/>
      <c r="N36" s="277"/>
      <c r="O36" s="278"/>
      <c r="P36" s="172" t="s">
        <v>11</v>
      </c>
      <c r="Q36" s="145">
        <f>'Other Deduction'!E8</f>
        <v>0</v>
      </c>
      <c r="R36" s="139"/>
    </row>
    <row r="37" spans="1:18" s="20" customFormat="1" ht="15" customHeight="1">
      <c r="A37" s="139"/>
      <c r="B37" s="273"/>
      <c r="C37" s="254" t="s">
        <v>173</v>
      </c>
      <c r="D37" s="254"/>
      <c r="E37" s="254"/>
      <c r="F37" s="254"/>
      <c r="G37" s="254"/>
      <c r="H37" s="254"/>
      <c r="I37" s="254"/>
      <c r="J37" s="254"/>
      <c r="K37" s="254"/>
      <c r="L37" s="254"/>
      <c r="M37" s="254"/>
      <c r="N37" s="254"/>
      <c r="O37" s="254"/>
      <c r="P37" s="172" t="s">
        <v>11</v>
      </c>
      <c r="Q37" s="145">
        <f>'Other Deduction'!E9</f>
        <v>0</v>
      </c>
      <c r="R37" s="139"/>
    </row>
    <row r="38" spans="1:18" s="20" customFormat="1" ht="15" customHeight="1">
      <c r="A38" s="139"/>
      <c r="B38" s="273"/>
      <c r="C38" s="254" t="s">
        <v>244</v>
      </c>
      <c r="D38" s="254"/>
      <c r="E38" s="254"/>
      <c r="F38" s="254"/>
      <c r="G38" s="254"/>
      <c r="H38" s="254"/>
      <c r="I38" s="254"/>
      <c r="J38" s="254"/>
      <c r="K38" s="254"/>
      <c r="L38" s="254"/>
      <c r="M38" s="254"/>
      <c r="N38" s="254"/>
      <c r="O38" s="254"/>
      <c r="P38" s="172" t="s">
        <v>11</v>
      </c>
      <c r="Q38" s="145">
        <f>'Other Deduction'!E10</f>
        <v>0</v>
      </c>
      <c r="R38" s="139"/>
    </row>
    <row r="39" spans="1:18" s="20" customFormat="1" ht="15" customHeight="1">
      <c r="A39" s="139"/>
      <c r="B39" s="273"/>
      <c r="C39" s="254" t="s">
        <v>137</v>
      </c>
      <c r="D39" s="254"/>
      <c r="E39" s="254"/>
      <c r="F39" s="254"/>
      <c r="G39" s="254"/>
      <c r="H39" s="254"/>
      <c r="I39" s="254"/>
      <c r="J39" s="254"/>
      <c r="K39" s="254"/>
      <c r="L39" s="254"/>
      <c r="M39" s="254"/>
      <c r="N39" s="254"/>
      <c r="O39" s="254"/>
      <c r="P39" s="172" t="s">
        <v>11</v>
      </c>
      <c r="Q39" s="145">
        <f>'Other Deduction'!E11</f>
        <v>0</v>
      </c>
      <c r="R39" s="139"/>
    </row>
    <row r="40" spans="1:18" s="20" customFormat="1" ht="15" customHeight="1">
      <c r="A40" s="139"/>
      <c r="B40" s="273"/>
      <c r="C40" s="254" t="s">
        <v>138</v>
      </c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172" t="s">
        <v>11</v>
      </c>
      <c r="Q40" s="145">
        <f>'Other Deduction'!E12</f>
        <v>8660</v>
      </c>
      <c r="R40" s="139"/>
    </row>
    <row r="41" spans="1:18" s="20" customFormat="1" ht="15" customHeight="1">
      <c r="A41" s="139"/>
      <c r="B41" s="273"/>
      <c r="C41" s="276" t="s">
        <v>139</v>
      </c>
      <c r="D41" s="277"/>
      <c r="E41" s="277"/>
      <c r="F41" s="277"/>
      <c r="G41" s="277"/>
      <c r="H41" s="277"/>
      <c r="I41" s="277"/>
      <c r="J41" s="277"/>
      <c r="K41" s="277"/>
      <c r="L41" s="277"/>
      <c r="M41" s="277"/>
      <c r="N41" s="277"/>
      <c r="O41" s="278"/>
      <c r="P41" s="172" t="s">
        <v>11</v>
      </c>
      <c r="Q41" s="145">
        <f>'Other Deduction'!E13</f>
        <v>0</v>
      </c>
      <c r="R41" s="139"/>
    </row>
    <row r="42" spans="1:18" s="20" customFormat="1" ht="15" customHeight="1">
      <c r="A42" s="139"/>
      <c r="B42" s="273"/>
      <c r="C42" s="263" t="s">
        <v>175</v>
      </c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5"/>
      <c r="P42" s="172" t="s">
        <v>11</v>
      </c>
      <c r="Q42" s="145">
        <f>IF('Master Data'!Q5="Yes",IF('Other Deduction'!E3&lt;50001,'Other Deduction'!E3,50000),IF('Other Deduction'!E3&lt;10001,'Other Deduction'!E3,10000))</f>
        <v>0</v>
      </c>
      <c r="R42" s="139"/>
    </row>
    <row r="43" spans="1:18" s="20" customFormat="1" ht="15" customHeight="1">
      <c r="A43" s="139"/>
      <c r="B43" s="273"/>
      <c r="C43" s="263" t="s">
        <v>108</v>
      </c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4"/>
      <c r="O43" s="265"/>
      <c r="P43" s="172" t="s">
        <v>11</v>
      </c>
      <c r="Q43" s="145">
        <f>'Other Deduction'!E14</f>
        <v>0</v>
      </c>
      <c r="R43" s="139"/>
    </row>
    <row r="44" spans="1:18" s="20" customFormat="1" ht="15" customHeight="1">
      <c r="A44" s="139"/>
      <c r="B44" s="274"/>
      <c r="C44" s="262" t="s">
        <v>55</v>
      </c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172" t="s">
        <v>11</v>
      </c>
      <c r="Q44" s="149">
        <f>SUM(Q36:Q43)</f>
        <v>8660</v>
      </c>
      <c r="R44" s="139"/>
    </row>
    <row r="45" spans="1:18" s="20" customFormat="1" ht="15" customHeight="1">
      <c r="A45" s="139"/>
      <c r="B45" s="143">
        <v>13</v>
      </c>
      <c r="C45" s="255" t="s">
        <v>115</v>
      </c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172" t="s">
        <v>11</v>
      </c>
      <c r="Q45" s="145">
        <f>Q34+Q44</f>
        <v>211767</v>
      </c>
      <c r="R45" s="139"/>
    </row>
    <row r="46" spans="1:18" s="20" customFormat="1" ht="15" customHeight="1">
      <c r="A46" s="139"/>
      <c r="B46" s="143">
        <v>14</v>
      </c>
      <c r="C46" s="254" t="s">
        <v>66</v>
      </c>
      <c r="D46" s="254"/>
      <c r="E46" s="254"/>
      <c r="F46" s="254"/>
      <c r="G46" s="254"/>
      <c r="H46" s="254"/>
      <c r="I46" s="254"/>
      <c r="J46" s="254"/>
      <c r="K46" s="254"/>
      <c r="L46" s="254"/>
      <c r="M46" s="254"/>
      <c r="N46" s="254"/>
      <c r="O46" s="254"/>
      <c r="P46" s="172" t="s">
        <v>11</v>
      </c>
      <c r="Q46" s="145">
        <f>(Q17-Q45)</f>
        <v>561830</v>
      </c>
      <c r="R46" s="139"/>
    </row>
    <row r="47" spans="1:18" s="20" customFormat="1">
      <c r="A47" s="139"/>
      <c r="B47" s="143">
        <v>15</v>
      </c>
      <c r="C47" s="255" t="s">
        <v>155</v>
      </c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172" t="s">
        <v>11</v>
      </c>
      <c r="Q47" s="144">
        <f>ROUND(Q46,-1)</f>
        <v>561830</v>
      </c>
      <c r="R47" s="139"/>
    </row>
    <row r="48" spans="1:18" s="20" customFormat="1" ht="15" customHeight="1">
      <c r="A48" s="139"/>
      <c r="B48" s="272">
        <v>16</v>
      </c>
      <c r="C48" s="254" t="s">
        <v>56</v>
      </c>
      <c r="D48" s="254"/>
      <c r="E48" s="254"/>
      <c r="F48" s="254"/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85"/>
      <c r="R48" s="139"/>
    </row>
    <row r="49" spans="1:18" s="20" customFormat="1" ht="15" customHeight="1">
      <c r="A49" s="139"/>
      <c r="B49" s="273"/>
      <c r="C49" s="286" t="s">
        <v>82</v>
      </c>
      <c r="D49" s="286"/>
      <c r="E49" s="286"/>
      <c r="F49" s="286"/>
      <c r="G49" s="286"/>
      <c r="H49" s="286" t="s">
        <v>97</v>
      </c>
      <c r="I49" s="286"/>
      <c r="J49" s="286"/>
      <c r="K49" s="286"/>
      <c r="L49" s="287" t="s">
        <v>114</v>
      </c>
      <c r="M49" s="288"/>
      <c r="N49" s="288"/>
      <c r="O49" s="289"/>
      <c r="P49" s="150"/>
      <c r="Q49" s="151"/>
      <c r="R49" s="139"/>
    </row>
    <row r="50" spans="1:18" s="20" customFormat="1" ht="15" customHeight="1">
      <c r="A50" s="139"/>
      <c r="B50" s="273"/>
      <c r="C50" s="256" t="s">
        <v>83</v>
      </c>
      <c r="D50" s="257"/>
      <c r="E50" s="258"/>
      <c r="F50" s="253" t="s">
        <v>57</v>
      </c>
      <c r="G50" s="253"/>
      <c r="H50" s="256" t="s">
        <v>98</v>
      </c>
      <c r="I50" s="257"/>
      <c r="J50" s="258"/>
      <c r="K50" s="171" t="s">
        <v>57</v>
      </c>
      <c r="L50" s="256"/>
      <c r="M50" s="257"/>
      <c r="N50" s="258"/>
      <c r="O50" s="171"/>
      <c r="P50" s="172" t="s">
        <v>11</v>
      </c>
      <c r="Q50" s="152">
        <v>0</v>
      </c>
      <c r="R50" s="139"/>
    </row>
    <row r="51" spans="1:18" s="20" customFormat="1" ht="15" customHeight="1">
      <c r="A51" s="139"/>
      <c r="B51" s="273"/>
      <c r="C51" s="256" t="s">
        <v>58</v>
      </c>
      <c r="D51" s="257"/>
      <c r="E51" s="258"/>
      <c r="F51" s="252">
        <v>0.05</v>
      </c>
      <c r="G51" s="253"/>
      <c r="H51" s="253" t="s">
        <v>99</v>
      </c>
      <c r="I51" s="253"/>
      <c r="J51" s="253"/>
      <c r="K51" s="170">
        <v>0.05</v>
      </c>
      <c r="L51" s="256" t="s">
        <v>84</v>
      </c>
      <c r="M51" s="257"/>
      <c r="N51" s="258"/>
      <c r="O51" s="171" t="s">
        <v>57</v>
      </c>
      <c r="P51" s="172" t="s">
        <v>11</v>
      </c>
      <c r="Q51" s="152">
        <f>ROUND(IF('Master Data'!Q5="No",IF(Q47&lt;250001,0,IF(Q47&gt;500000,12500,((Q47-250000)*0.05))),IF(Q47&lt;300001,0,IF(Q47&gt;500000,10000,((Q47-300000)*0.05)))),0)</f>
        <v>12500</v>
      </c>
      <c r="R51" s="139"/>
    </row>
    <row r="52" spans="1:18" s="20" customFormat="1" ht="15" customHeight="1">
      <c r="A52" s="139"/>
      <c r="B52" s="273"/>
      <c r="C52" s="256" t="s">
        <v>59</v>
      </c>
      <c r="D52" s="257"/>
      <c r="E52" s="258"/>
      <c r="F52" s="252">
        <v>0.2</v>
      </c>
      <c r="G52" s="253"/>
      <c r="H52" s="253" t="s">
        <v>59</v>
      </c>
      <c r="I52" s="253"/>
      <c r="J52" s="253"/>
      <c r="K52" s="170">
        <v>0.2</v>
      </c>
      <c r="L52" s="256" t="s">
        <v>59</v>
      </c>
      <c r="M52" s="257"/>
      <c r="N52" s="258"/>
      <c r="O52" s="170">
        <v>0.2</v>
      </c>
      <c r="P52" s="172" t="s">
        <v>11</v>
      </c>
      <c r="Q52" s="152">
        <f>IF(Q47&lt;500001,0,IF(Q47&gt;1000000,100000,((Q47-500000)*0.2)))</f>
        <v>12366</v>
      </c>
      <c r="R52" s="139"/>
    </row>
    <row r="53" spans="1:18" s="20" customFormat="1" ht="15" customHeight="1">
      <c r="A53" s="139"/>
      <c r="B53" s="273"/>
      <c r="C53" s="290" t="s">
        <v>80</v>
      </c>
      <c r="D53" s="291"/>
      <c r="E53" s="292"/>
      <c r="F53" s="252">
        <v>0.3</v>
      </c>
      <c r="G53" s="253"/>
      <c r="H53" s="253" t="s">
        <v>81</v>
      </c>
      <c r="I53" s="253"/>
      <c r="J53" s="253"/>
      <c r="K53" s="170">
        <v>0.3</v>
      </c>
      <c r="L53" s="256" t="s">
        <v>81</v>
      </c>
      <c r="M53" s="257"/>
      <c r="N53" s="258"/>
      <c r="O53" s="170">
        <v>0.3</v>
      </c>
      <c r="P53" s="172" t="s">
        <v>11</v>
      </c>
      <c r="Q53" s="152">
        <f>IF(Q47&lt;1000001,0,((Q47-1000000)*0.3))</f>
        <v>0</v>
      </c>
      <c r="R53" s="139"/>
    </row>
    <row r="54" spans="1:18" s="20" customFormat="1" ht="15" customHeight="1">
      <c r="A54" s="139"/>
      <c r="B54" s="273"/>
      <c r="C54" s="280" t="s">
        <v>67</v>
      </c>
      <c r="D54" s="281"/>
      <c r="E54" s="281"/>
      <c r="F54" s="281"/>
      <c r="G54" s="281"/>
      <c r="H54" s="281"/>
      <c r="I54" s="281"/>
      <c r="J54" s="281"/>
      <c r="K54" s="281"/>
      <c r="L54" s="281"/>
      <c r="M54" s="281"/>
      <c r="N54" s="281"/>
      <c r="O54" s="282"/>
      <c r="P54" s="172" t="s">
        <v>11</v>
      </c>
      <c r="Q54" s="144">
        <f>SUM(Q50:Q53)</f>
        <v>24866</v>
      </c>
      <c r="R54" s="139"/>
    </row>
    <row r="55" spans="1:18" s="20" customFormat="1" ht="15" customHeight="1">
      <c r="A55" s="139"/>
      <c r="B55" s="273"/>
      <c r="C55" s="293" t="s">
        <v>176</v>
      </c>
      <c r="D55" s="294"/>
      <c r="E55" s="294"/>
      <c r="F55" s="294"/>
      <c r="G55" s="294"/>
      <c r="H55" s="294"/>
      <c r="I55" s="294"/>
      <c r="J55" s="294"/>
      <c r="K55" s="294"/>
      <c r="L55" s="294"/>
      <c r="M55" s="294"/>
      <c r="N55" s="294"/>
      <c r="O55" s="295"/>
      <c r="P55" s="172" t="s">
        <v>11</v>
      </c>
      <c r="Q55" s="145">
        <f>IF(Q47&gt;500000,0,IF(Q54&lt;12501,Q54,12500))</f>
        <v>0</v>
      </c>
      <c r="R55" s="139"/>
    </row>
    <row r="56" spans="1:18" s="20" customFormat="1" ht="15" customHeight="1">
      <c r="A56" s="139"/>
      <c r="B56" s="273"/>
      <c r="C56" s="280" t="s">
        <v>100</v>
      </c>
      <c r="D56" s="281"/>
      <c r="E56" s="281"/>
      <c r="F56" s="281"/>
      <c r="G56" s="281"/>
      <c r="H56" s="281"/>
      <c r="I56" s="281"/>
      <c r="J56" s="281"/>
      <c r="K56" s="281"/>
      <c r="L56" s="281"/>
      <c r="M56" s="281"/>
      <c r="N56" s="281"/>
      <c r="O56" s="282"/>
      <c r="P56" s="172" t="s">
        <v>11</v>
      </c>
      <c r="Q56" s="144">
        <f>Q54-Q55</f>
        <v>24866</v>
      </c>
      <c r="R56" s="139"/>
    </row>
    <row r="57" spans="1:18" s="20" customFormat="1" ht="15" customHeight="1">
      <c r="A57" s="139"/>
      <c r="B57" s="273"/>
      <c r="C57" s="283" t="s">
        <v>169</v>
      </c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172" t="s">
        <v>11</v>
      </c>
      <c r="Q57" s="145">
        <f>ROUND(Q56*0.04,0)</f>
        <v>995</v>
      </c>
      <c r="R57" s="139"/>
    </row>
    <row r="58" spans="1:18" s="20" customFormat="1" ht="15" customHeight="1">
      <c r="A58" s="139"/>
      <c r="B58" s="274"/>
      <c r="C58" s="284" t="s">
        <v>101</v>
      </c>
      <c r="D58" s="284"/>
      <c r="E58" s="284"/>
      <c r="F58" s="284"/>
      <c r="G58" s="284"/>
      <c r="H58" s="284"/>
      <c r="I58" s="284"/>
      <c r="J58" s="284"/>
      <c r="K58" s="284"/>
      <c r="L58" s="284"/>
      <c r="M58" s="284"/>
      <c r="N58" s="284"/>
      <c r="O58" s="284"/>
      <c r="P58" s="172" t="s">
        <v>11</v>
      </c>
      <c r="Q58" s="144">
        <f>SUM(Q56:Q57)</f>
        <v>25861</v>
      </c>
      <c r="R58" s="139"/>
    </row>
    <row r="59" spans="1:18" s="20" customFormat="1" ht="15" customHeight="1">
      <c r="A59" s="139"/>
      <c r="B59" s="143">
        <v>17</v>
      </c>
      <c r="C59" s="263" t="s">
        <v>68</v>
      </c>
      <c r="D59" s="264"/>
      <c r="E59" s="264"/>
      <c r="F59" s="264"/>
      <c r="G59" s="264"/>
      <c r="H59" s="264"/>
      <c r="I59" s="264"/>
      <c r="J59" s="264"/>
      <c r="K59" s="264"/>
      <c r="L59" s="264"/>
      <c r="M59" s="264"/>
      <c r="N59" s="264"/>
      <c r="O59" s="265"/>
      <c r="P59" s="172" t="s">
        <v>11</v>
      </c>
      <c r="Q59" s="145">
        <f>'Other Deduction'!E17</f>
        <v>0</v>
      </c>
      <c r="R59" s="139"/>
    </row>
    <row r="60" spans="1:18" s="20" customFormat="1" ht="15" customHeight="1">
      <c r="A60" s="139"/>
      <c r="B60" s="143">
        <v>18</v>
      </c>
      <c r="C60" s="255" t="s">
        <v>85</v>
      </c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172" t="s">
        <v>11</v>
      </c>
      <c r="Q60" s="144">
        <f>Q58-Q59</f>
        <v>25861</v>
      </c>
      <c r="R60" s="139"/>
    </row>
    <row r="61" spans="1:18" ht="33.75" customHeight="1">
      <c r="A61" s="153"/>
      <c r="B61" s="272">
        <v>19</v>
      </c>
      <c r="C61" s="306" t="s">
        <v>60</v>
      </c>
      <c r="D61" s="306"/>
      <c r="E61" s="307"/>
      <c r="F61" s="304" t="s">
        <v>236</v>
      </c>
      <c r="G61" s="304"/>
      <c r="H61" s="304"/>
      <c r="I61" s="304"/>
      <c r="J61" s="297" t="s">
        <v>237</v>
      </c>
      <c r="K61" s="305"/>
      <c r="L61" s="173" t="s">
        <v>238</v>
      </c>
      <c r="M61" s="297" t="s">
        <v>239</v>
      </c>
      <c r="N61" s="305"/>
      <c r="O61" s="173" t="s">
        <v>89</v>
      </c>
      <c r="P61" s="297" t="s">
        <v>154</v>
      </c>
      <c r="Q61" s="298"/>
      <c r="R61" s="153"/>
    </row>
    <row r="62" spans="1:18">
      <c r="A62" s="153"/>
      <c r="B62" s="274"/>
      <c r="C62" s="308"/>
      <c r="D62" s="308"/>
      <c r="E62" s="309"/>
      <c r="F62" s="299">
        <f>SUM('Master Data'!Z13:Z19)</f>
        <v>0</v>
      </c>
      <c r="G62" s="299"/>
      <c r="H62" s="299"/>
      <c r="I62" s="299"/>
      <c r="J62" s="299">
        <f>SUM('Master Data'!Z20:Z22)</f>
        <v>0</v>
      </c>
      <c r="K62" s="299"/>
      <c r="L62" s="154">
        <f>'Master Data'!Z23</f>
        <v>0</v>
      </c>
      <c r="M62" s="299">
        <f>'Master Data'!Z24</f>
        <v>0</v>
      </c>
      <c r="N62" s="299"/>
      <c r="O62" s="155">
        <f>SUM('Master Data'!Z25:Z33)+'Other Deduction'!E18</f>
        <v>0</v>
      </c>
      <c r="P62" s="300">
        <f>F62+J62+L62+M62+O62</f>
        <v>0</v>
      </c>
      <c r="Q62" s="301"/>
      <c r="R62" s="153"/>
    </row>
    <row r="63" spans="1:18" ht="16" thickBot="1">
      <c r="A63" s="153"/>
      <c r="B63" s="302" t="str">
        <f>IF(Q60&gt;P62,"Income Tax Payable",IF(Q60&lt;P62,"Income Tax Refundable","Income Tax Payble/Refundable"))</f>
        <v>Income Tax Payable</v>
      </c>
      <c r="C63" s="303"/>
      <c r="D63" s="303"/>
      <c r="E63" s="303"/>
      <c r="F63" s="303"/>
      <c r="G63" s="303"/>
      <c r="H63" s="303"/>
      <c r="I63" s="303"/>
      <c r="J63" s="303"/>
      <c r="K63" s="303"/>
      <c r="L63" s="303"/>
      <c r="M63" s="303"/>
      <c r="N63" s="303"/>
      <c r="O63" s="303"/>
      <c r="P63" s="156" t="s">
        <v>11</v>
      </c>
      <c r="Q63" s="157">
        <f>IF(Q60&gt;P62,Q60-P62,P62-Q60)</f>
        <v>25861</v>
      </c>
      <c r="R63" s="153"/>
    </row>
    <row r="64" spans="1:18">
      <c r="A64" s="153"/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8"/>
      <c r="P64" s="159"/>
      <c r="Q64" s="160"/>
      <c r="R64" s="153"/>
    </row>
    <row r="65" spans="1:18" ht="16.5">
      <c r="A65" s="153"/>
      <c r="B65" s="161"/>
      <c r="C65" s="162"/>
      <c r="D65" s="162"/>
      <c r="E65" s="163" t="s">
        <v>116</v>
      </c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4"/>
      <c r="Q65" s="165"/>
      <c r="R65" s="153"/>
    </row>
    <row r="66" spans="1:18">
      <c r="A66" s="153"/>
      <c r="B66" s="161"/>
      <c r="C66" s="162"/>
      <c r="D66" s="162"/>
      <c r="E66" s="166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4"/>
      <c r="Q66" s="165"/>
      <c r="R66" s="153"/>
    </row>
    <row r="67" spans="1:18" s="57" customFormat="1" ht="15.75" customHeight="1">
      <c r="A67" s="167"/>
      <c r="B67" s="168"/>
      <c r="C67" s="296"/>
      <c r="D67" s="296"/>
      <c r="E67" s="296"/>
      <c r="F67" s="296"/>
      <c r="G67" s="296"/>
      <c r="H67" s="296"/>
      <c r="I67" s="296"/>
      <c r="J67" s="296"/>
      <c r="K67" s="296"/>
      <c r="L67" s="296"/>
      <c r="M67" s="296"/>
      <c r="N67" s="296"/>
      <c r="O67" s="296"/>
      <c r="P67" s="296"/>
      <c r="Q67" s="296"/>
      <c r="R67" s="167"/>
    </row>
    <row r="68" spans="1:18" s="57" customFormat="1" ht="15.75" hidden="1" customHeight="1">
      <c r="A68" s="167"/>
      <c r="B68" s="169"/>
      <c r="C68" s="296"/>
      <c r="D68" s="296"/>
      <c r="E68" s="296"/>
      <c r="F68" s="296"/>
      <c r="G68" s="296"/>
      <c r="H68" s="296"/>
      <c r="I68" s="296"/>
      <c r="J68" s="296"/>
      <c r="K68" s="296"/>
      <c r="L68" s="296"/>
      <c r="M68" s="296"/>
      <c r="N68" s="296"/>
      <c r="O68" s="296"/>
      <c r="P68" s="296"/>
      <c r="Q68" s="296"/>
      <c r="R68" s="167"/>
    </row>
    <row r="69" spans="1:18" s="57" customFormat="1" ht="24" hidden="1" customHeight="1">
      <c r="A69" s="167"/>
      <c r="B69" s="168"/>
      <c r="C69" s="296"/>
      <c r="D69" s="296"/>
      <c r="E69" s="296"/>
      <c r="F69" s="296"/>
      <c r="G69" s="296"/>
      <c r="H69" s="296"/>
      <c r="I69" s="296"/>
      <c r="J69" s="296"/>
      <c r="K69" s="296"/>
      <c r="L69" s="296"/>
      <c r="M69" s="296"/>
      <c r="N69" s="296"/>
      <c r="O69" s="296"/>
      <c r="P69" s="296"/>
      <c r="Q69" s="296"/>
      <c r="R69" s="167"/>
    </row>
    <row r="70" spans="1:18" s="57" customFormat="1" ht="15.75" hidden="1" customHeight="1">
      <c r="B70" s="58"/>
      <c r="C70" s="60"/>
      <c r="D70" s="60"/>
      <c r="E70" s="60"/>
      <c r="F70" s="60"/>
      <c r="G70" s="60"/>
      <c r="H70" s="60"/>
      <c r="I70" s="60"/>
      <c r="J70" s="60"/>
      <c r="K70" s="60"/>
      <c r="L70" s="279"/>
      <c r="M70" s="279"/>
      <c r="N70" s="279"/>
      <c r="O70" s="279"/>
      <c r="P70" s="279"/>
      <c r="Q70" s="279"/>
    </row>
    <row r="71" spans="1:18" s="57" customFormat="1" ht="15.75" hidden="1" customHeight="1">
      <c r="B71" s="58"/>
      <c r="C71" s="60"/>
      <c r="D71" s="60"/>
      <c r="E71" s="60"/>
      <c r="F71" s="60"/>
      <c r="G71" s="60"/>
      <c r="H71" s="60"/>
      <c r="I71" s="60"/>
      <c r="J71" s="60"/>
      <c r="K71" s="60"/>
      <c r="L71" s="279"/>
      <c r="M71" s="279"/>
      <c r="N71" s="279"/>
      <c r="O71" s="279"/>
      <c r="P71" s="279"/>
      <c r="Q71" s="279"/>
    </row>
    <row r="72" spans="1:18" s="57" customFormat="1" ht="15.75" hidden="1" customHeight="1">
      <c r="B72" s="58"/>
      <c r="C72" s="60"/>
      <c r="D72" s="60"/>
      <c r="E72" s="60"/>
      <c r="F72" s="60"/>
      <c r="G72" s="60"/>
      <c r="H72" s="60"/>
      <c r="I72" s="60"/>
      <c r="J72" s="60"/>
      <c r="K72" s="60"/>
      <c r="L72" s="279"/>
      <c r="M72" s="279"/>
      <c r="N72" s="279"/>
      <c r="O72" s="279"/>
      <c r="P72" s="279"/>
      <c r="Q72" s="279"/>
    </row>
    <row r="73" spans="1:18" s="57" customFormat="1" ht="15.75" hidden="1" customHeight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279"/>
      <c r="M73" s="279"/>
      <c r="N73" s="279"/>
      <c r="O73" s="279"/>
      <c r="P73" s="279"/>
      <c r="Q73" s="279"/>
    </row>
    <row r="74" spans="1:18" s="57" customFormat="1" ht="15.75" hidden="1" customHeight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279"/>
      <c r="M74" s="279"/>
      <c r="N74" s="279"/>
      <c r="O74" s="279"/>
      <c r="P74" s="279"/>
      <c r="Q74" s="279"/>
    </row>
    <row r="75" spans="1:18" s="57" customFormat="1" hidden="1">
      <c r="B75" s="59"/>
      <c r="C75" s="61"/>
      <c r="D75" s="349"/>
      <c r="E75" s="349"/>
      <c r="F75" s="349"/>
      <c r="G75" s="349"/>
      <c r="H75" s="349"/>
      <c r="I75" s="349"/>
      <c r="J75" s="349"/>
      <c r="K75" s="61"/>
      <c r="L75" s="279"/>
      <c r="M75" s="279"/>
      <c r="N75" s="279"/>
      <c r="O75" s="279"/>
      <c r="P75" s="279"/>
      <c r="Q75" s="279"/>
    </row>
    <row r="76" spans="1:18" s="57" customFormat="1" hidden="1">
      <c r="B76" s="59"/>
      <c r="C76" s="61"/>
      <c r="D76" s="61"/>
      <c r="E76" s="61"/>
      <c r="F76" s="61"/>
      <c r="G76" s="61"/>
      <c r="H76" s="61"/>
      <c r="I76" s="61"/>
      <c r="J76" s="61"/>
      <c r="K76" s="61"/>
      <c r="L76" s="279"/>
      <c r="M76" s="279"/>
      <c r="N76" s="279"/>
      <c r="O76" s="279"/>
      <c r="P76" s="279"/>
      <c r="Q76" s="279"/>
    </row>
    <row r="77" spans="1:18" hidden="1">
      <c r="A77" s="51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4"/>
      <c r="Q77" s="55"/>
      <c r="R77" s="51"/>
    </row>
    <row r="78" spans="1:18" hidden="1">
      <c r="A78" s="51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4"/>
      <c r="Q78" s="55"/>
      <c r="R78" s="51"/>
    </row>
    <row r="79" spans="1:18" hidden="1">
      <c r="A79" s="51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4"/>
      <c r="Q79" s="55"/>
      <c r="R79" s="51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</mergeCells>
  <printOptions horizontalCentered="1"/>
  <pageMargins left="0.39370078740157499" right="0.23622047244094499" top="0.23622047244094499" bottom="0.17" header="0.196850393700787" footer="0.17"/>
  <pageSetup paperSize="9" scale="83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A50021"/>
  </sheetPr>
  <dimension ref="A1:R83"/>
  <sheetViews>
    <sheetView topLeftCell="B1" zoomScale="80" zoomScaleNormal="80" workbookViewId="0">
      <selection activeCell="Q5" sqref="Q5"/>
    </sheetView>
  </sheetViews>
  <sheetFormatPr defaultColWidth="0" defaultRowHeight="15.65" customHeight="1" zeroHeight="1"/>
  <cols>
    <col min="1" max="1" width="0.54296875" hidden="1" customWidth="1" collapsed="1"/>
    <col min="2" max="2" width="4.6328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4" style="14" customWidth="1" collapsed="1"/>
    <col min="9" max="9" width="11.54296875" style="14" customWidth="1" collapsed="1"/>
    <col min="10" max="10" width="6.81640625" style="14" customWidth="1" collapsed="1"/>
    <col min="11" max="11" width="10.1796875" style="14" customWidth="1" collapsed="1"/>
    <col min="12" max="12" width="13.453125" style="14" customWidth="1" collapsed="1"/>
    <col min="13" max="13" width="9.453125" style="14" customWidth="1" collapsed="1"/>
    <col min="14" max="14" width="5.1796875" style="14" customWidth="1" collapsed="1"/>
    <col min="15" max="15" width="13.453125" style="14" customWidth="1" collapsed="1"/>
    <col min="16" max="16" width="5" style="16" customWidth="1" collapsed="1"/>
    <col min="17" max="17" width="31.90625" style="17" customWidth="1" collapsed="1"/>
    <col min="18" max="18" width="3.36328125" customWidth="1" collapsed="1"/>
    <col min="19" max="16384" width="9.1796875" hidden="1" collapsed="1"/>
  </cols>
  <sheetData>
    <row r="1" spans="2:17" s="20" customFormat="1" ht="18.5">
      <c r="B1" s="384" t="str">
        <f>'Master Data'!C8</f>
        <v>GOVT SR. SEC SCHOOL DILOD HATHI, ATRU BARAN</v>
      </c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</row>
    <row r="2" spans="2:17" s="20" customFormat="1" ht="21" thickBot="1">
      <c r="B2" s="385" t="s">
        <v>195</v>
      </c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</row>
    <row r="3" spans="2:17" s="20" customFormat="1" ht="15.5">
      <c r="B3" s="36">
        <v>1</v>
      </c>
      <c r="C3" s="386" t="s">
        <v>10</v>
      </c>
      <c r="D3" s="387"/>
      <c r="E3" s="388" t="str">
        <f>'Master Data'!D10</f>
        <v>PARMANAND MEGHWAL</v>
      </c>
      <c r="F3" s="388"/>
      <c r="G3" s="388"/>
      <c r="H3" s="388"/>
      <c r="I3" s="388"/>
      <c r="J3" s="388"/>
      <c r="K3" s="37" t="s">
        <v>29</v>
      </c>
      <c r="L3" s="389" t="str">
        <f>'Master Data'!P10</f>
        <v>SENIOR TEACHER</v>
      </c>
      <c r="M3" s="389"/>
      <c r="N3" s="389"/>
      <c r="O3" s="38" t="s">
        <v>28</v>
      </c>
      <c r="P3" s="390" t="str">
        <f>IF('Master Data'!W10="","",'Master Data'!W10)</f>
        <v>ABCD1122D</v>
      </c>
      <c r="Q3" s="391"/>
    </row>
    <row r="4" spans="2:17" s="20" customFormat="1" ht="15.5">
      <c r="B4" s="28">
        <v>2</v>
      </c>
      <c r="C4" s="379" t="s">
        <v>251</v>
      </c>
      <c r="D4" s="379"/>
      <c r="E4" s="353"/>
      <c r="F4" s="353"/>
      <c r="G4" s="353"/>
      <c r="H4" s="353"/>
      <c r="I4" s="353"/>
      <c r="J4" s="353"/>
      <c r="K4" s="379"/>
      <c r="L4" s="353"/>
      <c r="M4" s="353"/>
      <c r="N4" s="353"/>
      <c r="O4" s="379"/>
      <c r="P4" s="86" t="s">
        <v>11</v>
      </c>
      <c r="Q4" s="29">
        <f>'Master Data'!N34</f>
        <v>823597</v>
      </c>
    </row>
    <row r="5" spans="2:17" s="20" customFormat="1" ht="15.5">
      <c r="B5" s="28">
        <v>3</v>
      </c>
      <c r="C5" s="353" t="s">
        <v>117</v>
      </c>
      <c r="D5" s="353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86" t="s">
        <v>11</v>
      </c>
      <c r="Q5" s="30">
        <v>0</v>
      </c>
    </row>
    <row r="6" spans="2:17" s="20" customFormat="1" ht="15.5">
      <c r="B6" s="28">
        <v>4</v>
      </c>
      <c r="C6" s="364" t="s">
        <v>30</v>
      </c>
      <c r="D6" s="364"/>
      <c r="E6" s="364"/>
      <c r="F6" s="364"/>
      <c r="G6" s="364"/>
      <c r="H6" s="364"/>
      <c r="I6" s="364"/>
      <c r="J6" s="364"/>
      <c r="K6" s="364"/>
      <c r="L6" s="364"/>
      <c r="M6" s="364"/>
      <c r="N6" s="364"/>
      <c r="O6" s="364"/>
      <c r="P6" s="86" t="s">
        <v>11</v>
      </c>
      <c r="Q6" s="30">
        <f>Q4-Q5</f>
        <v>823597</v>
      </c>
    </row>
    <row r="7" spans="2:17" s="20" customFormat="1" ht="15.5">
      <c r="B7" s="354">
        <v>5</v>
      </c>
      <c r="C7" s="380" t="s">
        <v>72</v>
      </c>
      <c r="D7" s="381"/>
      <c r="E7" s="381"/>
      <c r="F7" s="381"/>
      <c r="G7" s="381"/>
      <c r="H7" s="381"/>
      <c r="I7" s="381"/>
      <c r="J7" s="381"/>
      <c r="K7" s="381"/>
      <c r="L7" s="381"/>
      <c r="M7" s="382">
        <f>'Other Deduction'!B4</f>
        <v>0</v>
      </c>
      <c r="N7" s="382"/>
      <c r="O7" s="382"/>
      <c r="P7" s="368"/>
      <c r="Q7" s="369"/>
    </row>
    <row r="8" spans="2:17" s="20" customFormat="1" ht="15.5">
      <c r="B8" s="355"/>
      <c r="C8" s="380" t="s">
        <v>73</v>
      </c>
      <c r="D8" s="381"/>
      <c r="E8" s="381"/>
      <c r="F8" s="381"/>
      <c r="G8" s="381"/>
      <c r="H8" s="381"/>
      <c r="I8" s="381"/>
      <c r="J8" s="381"/>
      <c r="K8" s="381"/>
      <c r="L8" s="381"/>
      <c r="M8" s="382">
        <f>'Other Deduction'!B5</f>
        <v>0</v>
      </c>
      <c r="N8" s="382"/>
      <c r="O8" s="382"/>
      <c r="P8" s="372"/>
      <c r="Q8" s="373"/>
    </row>
    <row r="9" spans="2:17" s="20" customFormat="1" ht="15.5">
      <c r="B9" s="356"/>
      <c r="C9" s="380" t="s">
        <v>181</v>
      </c>
      <c r="D9" s="381"/>
      <c r="E9" s="381"/>
      <c r="F9" s="381"/>
      <c r="G9" s="381"/>
      <c r="H9" s="381"/>
      <c r="I9" s="381"/>
      <c r="J9" s="381"/>
      <c r="K9" s="381"/>
      <c r="L9" s="381"/>
      <c r="M9" s="382">
        <v>0</v>
      </c>
      <c r="N9" s="382"/>
      <c r="O9" s="382"/>
      <c r="P9" s="86" t="s">
        <v>11</v>
      </c>
      <c r="Q9" s="30">
        <v>0</v>
      </c>
    </row>
    <row r="10" spans="2:17" s="20" customFormat="1" ht="15.5">
      <c r="B10" s="28">
        <v>6</v>
      </c>
      <c r="C10" s="383" t="s">
        <v>12</v>
      </c>
      <c r="D10" s="383"/>
      <c r="E10" s="383"/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86" t="s">
        <v>11</v>
      </c>
      <c r="Q10" s="30">
        <f>Q6-Q9</f>
        <v>823597</v>
      </c>
    </row>
    <row r="11" spans="2:17" s="20" customFormat="1" ht="15.5">
      <c r="B11" s="405">
        <v>7</v>
      </c>
      <c r="C11" s="353" t="s">
        <v>31</v>
      </c>
      <c r="D11" s="353"/>
      <c r="E11" s="353"/>
      <c r="F11" s="353"/>
      <c r="G11" s="353"/>
      <c r="H11" s="353"/>
      <c r="I11" s="353"/>
      <c r="J11" s="353"/>
      <c r="K11" s="383" t="s">
        <v>32</v>
      </c>
      <c r="L11" s="383"/>
      <c r="M11" s="382">
        <f>'Other Deduction'!B6</f>
        <v>0</v>
      </c>
      <c r="N11" s="382"/>
      <c r="O11" s="382"/>
      <c r="P11" s="392"/>
      <c r="Q11" s="393"/>
    </row>
    <row r="12" spans="2:17" s="20" customFormat="1" ht="15.5">
      <c r="B12" s="405"/>
      <c r="C12" s="394" t="s">
        <v>33</v>
      </c>
      <c r="D12" s="395"/>
      <c r="E12" s="398" t="s">
        <v>87</v>
      </c>
      <c r="F12" s="399"/>
      <c r="G12" s="400"/>
      <c r="H12" s="401" t="s">
        <v>13</v>
      </c>
      <c r="I12" s="401"/>
      <c r="J12" s="401"/>
      <c r="K12" s="383" t="s">
        <v>34</v>
      </c>
      <c r="L12" s="383"/>
      <c r="M12" s="383" t="s">
        <v>64</v>
      </c>
      <c r="N12" s="383"/>
      <c r="O12" s="383"/>
      <c r="P12" s="392"/>
      <c r="Q12" s="393"/>
    </row>
    <row r="13" spans="2:17" s="20" customFormat="1" ht="15.5">
      <c r="B13" s="405"/>
      <c r="C13" s="396"/>
      <c r="D13" s="397"/>
      <c r="E13" s="402">
        <f>ROUND(M11*0.3,0)</f>
        <v>0</v>
      </c>
      <c r="F13" s="403"/>
      <c r="G13" s="404"/>
      <c r="H13" s="382">
        <v>0</v>
      </c>
      <c r="I13" s="382"/>
      <c r="J13" s="382"/>
      <c r="K13" s="382">
        <f>'Other Deduction'!B7</f>
        <v>0</v>
      </c>
      <c r="L13" s="382"/>
      <c r="M13" s="382">
        <f>E13+H13+K13</f>
        <v>0</v>
      </c>
      <c r="N13" s="382"/>
      <c r="O13" s="382"/>
      <c r="P13" s="392"/>
      <c r="Q13" s="393"/>
    </row>
    <row r="14" spans="2:17" s="20" customFormat="1" ht="15.5">
      <c r="B14" s="28"/>
      <c r="C14" s="383" t="s">
        <v>35</v>
      </c>
      <c r="D14" s="383"/>
      <c r="E14" s="383"/>
      <c r="F14" s="383"/>
      <c r="G14" s="383"/>
      <c r="H14" s="383"/>
      <c r="I14" s="383"/>
      <c r="J14" s="383"/>
      <c r="K14" s="383"/>
      <c r="L14" s="383"/>
      <c r="M14" s="383"/>
      <c r="N14" s="383"/>
      <c r="O14" s="383"/>
      <c r="P14" s="86" t="s">
        <v>11</v>
      </c>
      <c r="Q14" s="30">
        <f>E13</f>
        <v>0</v>
      </c>
    </row>
    <row r="15" spans="2:17" s="20" customFormat="1" ht="15.5">
      <c r="B15" s="28">
        <v>8</v>
      </c>
      <c r="C15" s="383" t="s">
        <v>65</v>
      </c>
      <c r="D15" s="383"/>
      <c r="E15" s="383"/>
      <c r="F15" s="383"/>
      <c r="G15" s="383"/>
      <c r="H15" s="383"/>
      <c r="I15" s="383"/>
      <c r="J15" s="383"/>
      <c r="K15" s="383"/>
      <c r="L15" s="383"/>
      <c r="M15" s="383"/>
      <c r="N15" s="383"/>
      <c r="O15" s="383"/>
      <c r="P15" s="86" t="s">
        <v>11</v>
      </c>
      <c r="Q15" s="30">
        <f>Q10+Q14</f>
        <v>823597</v>
      </c>
    </row>
    <row r="16" spans="2:17" s="20" customFormat="1" ht="15.5">
      <c r="B16" s="28">
        <v>9</v>
      </c>
      <c r="C16" s="353" t="s">
        <v>27</v>
      </c>
      <c r="D16" s="353"/>
      <c r="E16" s="353"/>
      <c r="F16" s="353"/>
      <c r="G16" s="353"/>
      <c r="H16" s="353"/>
      <c r="I16" s="353"/>
      <c r="J16" s="353"/>
      <c r="K16" s="353"/>
      <c r="L16" s="353"/>
      <c r="M16" s="353"/>
      <c r="N16" s="353"/>
      <c r="O16" s="353"/>
      <c r="P16" s="86" t="s">
        <v>11</v>
      </c>
      <c r="Q16" s="30">
        <f>'Other Deduction'!E3+'Other Deduction'!E4</f>
        <v>0</v>
      </c>
    </row>
    <row r="17" spans="2:17" s="20" customFormat="1" ht="15.5">
      <c r="B17" s="28">
        <v>10</v>
      </c>
      <c r="C17" s="353" t="s">
        <v>36</v>
      </c>
      <c r="D17" s="353"/>
      <c r="E17" s="353"/>
      <c r="F17" s="353"/>
      <c r="G17" s="353"/>
      <c r="H17" s="353"/>
      <c r="I17" s="353"/>
      <c r="J17" s="353"/>
      <c r="K17" s="353"/>
      <c r="L17" s="353"/>
      <c r="M17" s="353"/>
      <c r="N17" s="353"/>
      <c r="O17" s="353"/>
      <c r="P17" s="86" t="s">
        <v>11</v>
      </c>
      <c r="Q17" s="29">
        <f>Q15+Q16</f>
        <v>823597</v>
      </c>
    </row>
    <row r="18" spans="2:17" s="20" customFormat="1" ht="15.5">
      <c r="B18" s="354">
        <v>11</v>
      </c>
      <c r="C18" s="357" t="s">
        <v>118</v>
      </c>
      <c r="D18" s="357"/>
      <c r="E18" s="357"/>
      <c r="F18" s="357"/>
      <c r="G18" s="357"/>
      <c r="H18" s="357"/>
      <c r="I18" s="357"/>
      <c r="J18" s="357"/>
      <c r="K18" s="357"/>
      <c r="L18" s="357"/>
      <c r="M18" s="357"/>
      <c r="N18" s="357"/>
      <c r="O18" s="357"/>
      <c r="P18" s="357"/>
      <c r="Q18" s="358"/>
    </row>
    <row r="19" spans="2:17" s="20" customFormat="1" ht="15.5">
      <c r="B19" s="355"/>
      <c r="C19" s="365" t="s">
        <v>103</v>
      </c>
      <c r="D19" s="365"/>
      <c r="E19" s="365"/>
      <c r="F19" s="365"/>
      <c r="G19" s="365"/>
      <c r="H19" s="365"/>
      <c r="I19" s="365"/>
      <c r="J19" s="365"/>
      <c r="K19" s="365"/>
      <c r="L19" s="365"/>
      <c r="M19" s="365"/>
      <c r="N19" s="365"/>
      <c r="O19" s="365"/>
      <c r="P19" s="365"/>
      <c r="Q19" s="366"/>
    </row>
    <row r="20" spans="2:17" s="20" customFormat="1" ht="15.5">
      <c r="B20" s="355"/>
      <c r="C20" s="8" t="s">
        <v>37</v>
      </c>
      <c r="D20" s="353" t="s">
        <v>74</v>
      </c>
      <c r="E20" s="353"/>
      <c r="F20" s="353"/>
      <c r="G20" s="353"/>
      <c r="H20" s="86" t="s">
        <v>11</v>
      </c>
      <c r="I20" s="18">
        <f>'Master Data'!R34+'Master Data'!S34</f>
        <v>26400</v>
      </c>
      <c r="J20" s="8" t="s">
        <v>38</v>
      </c>
      <c r="K20" s="367" t="s">
        <v>111</v>
      </c>
      <c r="L20" s="367"/>
      <c r="M20" s="367"/>
      <c r="N20" s="86" t="s">
        <v>11</v>
      </c>
      <c r="O20" s="65">
        <f>IF('Master Data'!AC2="Yes",'Master Data'!P34,0)-Q33</f>
        <v>67565</v>
      </c>
      <c r="P20" s="368"/>
      <c r="Q20" s="369"/>
    </row>
    <row r="21" spans="2:17" s="20" customFormat="1" ht="15.5">
      <c r="B21" s="355"/>
      <c r="C21" s="8" t="s">
        <v>39</v>
      </c>
      <c r="D21" s="353" t="s">
        <v>75</v>
      </c>
      <c r="E21" s="353"/>
      <c r="F21" s="353"/>
      <c r="G21" s="353"/>
      <c r="H21" s="86" t="s">
        <v>11</v>
      </c>
      <c r="I21" s="18">
        <f>'Master Data'!V34+'Other Deduction'!B10</f>
        <v>36276</v>
      </c>
      <c r="J21" s="8" t="s">
        <v>40</v>
      </c>
      <c r="K21" s="374" t="s">
        <v>41</v>
      </c>
      <c r="L21" s="374"/>
      <c r="M21" s="374"/>
      <c r="N21" s="86" t="s">
        <v>11</v>
      </c>
      <c r="O21" s="18">
        <f>'Other Deduction'!E6</f>
        <v>0</v>
      </c>
      <c r="P21" s="370"/>
      <c r="Q21" s="371"/>
    </row>
    <row r="22" spans="2:17" s="20" customFormat="1" ht="15.5">
      <c r="B22" s="355"/>
      <c r="C22" s="8" t="s">
        <v>42</v>
      </c>
      <c r="D22" s="353" t="s">
        <v>76</v>
      </c>
      <c r="E22" s="353"/>
      <c r="F22" s="353"/>
      <c r="G22" s="353"/>
      <c r="H22" s="86" t="s">
        <v>11</v>
      </c>
      <c r="I22" s="18">
        <f>'Other Deduction'!B14</f>
        <v>0</v>
      </c>
      <c r="J22" s="8" t="s">
        <v>43</v>
      </c>
      <c r="K22" s="374" t="s">
        <v>17</v>
      </c>
      <c r="L22" s="374"/>
      <c r="M22" s="374"/>
      <c r="N22" s="86" t="s">
        <v>11</v>
      </c>
      <c r="O22" s="19">
        <f>'Other Deduction'!B15</f>
        <v>0</v>
      </c>
      <c r="P22" s="370"/>
      <c r="Q22" s="371"/>
    </row>
    <row r="23" spans="2:17" s="20" customFormat="1" ht="15.5">
      <c r="B23" s="355"/>
      <c r="C23" s="8" t="s">
        <v>44</v>
      </c>
      <c r="D23" s="353" t="s">
        <v>77</v>
      </c>
      <c r="E23" s="353"/>
      <c r="F23" s="353"/>
      <c r="G23" s="353"/>
      <c r="H23" s="86" t="s">
        <v>11</v>
      </c>
      <c r="I23" s="18">
        <f>'Other Deduction'!B16</f>
        <v>0</v>
      </c>
      <c r="J23" s="8" t="s">
        <v>45</v>
      </c>
      <c r="K23" s="374" t="s">
        <v>104</v>
      </c>
      <c r="L23" s="374"/>
      <c r="M23" s="374"/>
      <c r="N23" s="86" t="s">
        <v>11</v>
      </c>
      <c r="O23" s="19">
        <f>'Other Deduction'!B12</f>
        <v>0</v>
      </c>
      <c r="P23" s="370"/>
      <c r="Q23" s="371"/>
    </row>
    <row r="24" spans="2:17" s="20" customFormat="1" ht="15.5">
      <c r="B24" s="355"/>
      <c r="C24" s="8" t="s">
        <v>46</v>
      </c>
      <c r="D24" s="353" t="s">
        <v>78</v>
      </c>
      <c r="E24" s="353"/>
      <c r="F24" s="353"/>
      <c r="G24" s="353"/>
      <c r="H24" s="86" t="s">
        <v>11</v>
      </c>
      <c r="I24" s="18">
        <f>'Other Deduction'!B17</f>
        <v>0</v>
      </c>
      <c r="J24" s="8" t="s">
        <v>47</v>
      </c>
      <c r="K24" s="374" t="s">
        <v>107</v>
      </c>
      <c r="L24" s="374"/>
      <c r="M24" s="374"/>
      <c r="N24" s="86" t="s">
        <v>11</v>
      </c>
      <c r="O24" s="18">
        <f>'Other Deduction'!E15</f>
        <v>0</v>
      </c>
      <c r="P24" s="370"/>
      <c r="Q24" s="371"/>
    </row>
    <row r="25" spans="2:17" s="20" customFormat="1" ht="15.5">
      <c r="B25" s="355"/>
      <c r="C25" s="8" t="s">
        <v>48</v>
      </c>
      <c r="D25" s="353" t="s">
        <v>79</v>
      </c>
      <c r="E25" s="353"/>
      <c r="F25" s="353"/>
      <c r="G25" s="353"/>
      <c r="H25" s="86" t="s">
        <v>11</v>
      </c>
      <c r="I25" s="18">
        <f>IF('Master Data'!AC2="No",'Master Data'!P34,0)</f>
        <v>0</v>
      </c>
      <c r="J25" s="8" t="s">
        <v>49</v>
      </c>
      <c r="K25" s="374" t="s">
        <v>106</v>
      </c>
      <c r="L25" s="374"/>
      <c r="M25" s="374"/>
      <c r="N25" s="86" t="s">
        <v>11</v>
      </c>
      <c r="O25" s="18">
        <f>'Other Deduction'!E16</f>
        <v>0</v>
      </c>
      <c r="P25" s="370"/>
      <c r="Q25" s="371"/>
    </row>
    <row r="26" spans="2:17" s="20" customFormat="1" ht="15.5">
      <c r="B26" s="355"/>
      <c r="C26" s="8" t="s">
        <v>50</v>
      </c>
      <c r="D26" s="380" t="s">
        <v>113</v>
      </c>
      <c r="E26" s="381"/>
      <c r="F26" s="381"/>
      <c r="G26" s="412"/>
      <c r="H26" s="86" t="s">
        <v>11</v>
      </c>
      <c r="I26" s="19">
        <f>IF(OR('Master Data'!W14=0,'Master Data'!W14=""),0,220)</f>
        <v>220</v>
      </c>
      <c r="J26" s="8" t="s">
        <v>51</v>
      </c>
      <c r="K26" s="375" t="s">
        <v>105</v>
      </c>
      <c r="L26" s="375"/>
      <c r="M26" s="375"/>
      <c r="N26" s="86" t="s">
        <v>11</v>
      </c>
      <c r="O26" s="18">
        <f>'Other Deduction'!B11</f>
        <v>0</v>
      </c>
      <c r="P26" s="370"/>
      <c r="Q26" s="371"/>
    </row>
    <row r="27" spans="2:17" s="20" customFormat="1" ht="15.5">
      <c r="B27" s="355"/>
      <c r="C27" s="8" t="s">
        <v>52</v>
      </c>
      <c r="D27" s="353" t="s">
        <v>9</v>
      </c>
      <c r="E27" s="353"/>
      <c r="F27" s="353"/>
      <c r="G27" s="353"/>
      <c r="H27" s="86" t="s">
        <v>11</v>
      </c>
      <c r="I27" s="19">
        <f>'Other Deduction'!B13</f>
        <v>0</v>
      </c>
      <c r="J27" s="8" t="s">
        <v>53</v>
      </c>
      <c r="K27" s="375" t="s">
        <v>145</v>
      </c>
      <c r="L27" s="375"/>
      <c r="M27" s="375"/>
      <c r="N27" s="86" t="s">
        <v>11</v>
      </c>
      <c r="O27" s="18">
        <f>'Other Deduction'!E5</f>
        <v>0</v>
      </c>
      <c r="P27" s="370"/>
      <c r="Q27" s="371"/>
    </row>
    <row r="28" spans="2:17" s="20" customFormat="1" ht="15.5">
      <c r="B28" s="355"/>
      <c r="C28" s="8" t="s">
        <v>54</v>
      </c>
      <c r="D28" s="353" t="s">
        <v>88</v>
      </c>
      <c r="E28" s="353"/>
      <c r="F28" s="353"/>
      <c r="G28" s="353"/>
      <c r="H28" s="86" t="s">
        <v>11</v>
      </c>
      <c r="I28" s="18">
        <f>'Master Data'!X34+'Other Deduction'!B8</f>
        <v>0</v>
      </c>
      <c r="J28" s="8" t="s">
        <v>151</v>
      </c>
      <c r="K28" s="375" t="s">
        <v>152</v>
      </c>
      <c r="L28" s="375"/>
      <c r="M28" s="375"/>
      <c r="N28" s="86" t="s">
        <v>11</v>
      </c>
      <c r="O28" s="18">
        <f>'Other Deduction'!B18</f>
        <v>0</v>
      </c>
      <c r="P28" s="370"/>
      <c r="Q28" s="371"/>
    </row>
    <row r="29" spans="2:17" s="20" customFormat="1" ht="15.5">
      <c r="B29" s="355"/>
      <c r="C29" s="8" t="s">
        <v>216</v>
      </c>
      <c r="D29" s="413" t="s">
        <v>197</v>
      </c>
      <c r="E29" s="414"/>
      <c r="F29" s="414"/>
      <c r="G29" s="415"/>
      <c r="H29" s="116" t="s">
        <v>11</v>
      </c>
      <c r="I29" s="18">
        <f>IF('Master Data'!AC2="Yes",'Master Data'!AA34,0)</f>
        <v>5081</v>
      </c>
      <c r="J29" s="8"/>
      <c r="K29" s="416"/>
      <c r="L29" s="417"/>
      <c r="M29" s="418"/>
      <c r="N29" s="116" t="s">
        <v>11</v>
      </c>
      <c r="O29" s="18"/>
      <c r="P29" s="370"/>
      <c r="Q29" s="371"/>
    </row>
    <row r="30" spans="2:17" s="20" customFormat="1" ht="15.5">
      <c r="B30" s="355"/>
      <c r="C30" s="376" t="s">
        <v>153</v>
      </c>
      <c r="D30" s="377"/>
      <c r="E30" s="377"/>
      <c r="F30" s="377"/>
      <c r="G30" s="377"/>
      <c r="H30" s="377"/>
      <c r="I30" s="377"/>
      <c r="J30" s="377"/>
      <c r="K30" s="377"/>
      <c r="L30" s="377"/>
      <c r="M30" s="378"/>
      <c r="N30" s="86" t="s">
        <v>11</v>
      </c>
      <c r="O30" s="21">
        <f>SUM(I20:I29)+SUM(O20:O29)</f>
        <v>135542</v>
      </c>
      <c r="P30" s="372"/>
      <c r="Q30" s="373"/>
    </row>
    <row r="31" spans="2:17" s="20" customFormat="1" ht="15.5">
      <c r="B31" s="355"/>
      <c r="C31" s="364" t="s">
        <v>102</v>
      </c>
      <c r="D31" s="364"/>
      <c r="E31" s="364"/>
      <c r="F31" s="364"/>
      <c r="G31" s="364"/>
      <c r="H31" s="364"/>
      <c r="I31" s="364"/>
      <c r="J31" s="364"/>
      <c r="K31" s="364"/>
      <c r="L31" s="364"/>
      <c r="M31" s="364"/>
      <c r="N31" s="364"/>
      <c r="O31" s="364"/>
      <c r="P31" s="86" t="s">
        <v>11</v>
      </c>
      <c r="Q31" s="29">
        <v>0</v>
      </c>
    </row>
    <row r="32" spans="2:17" s="20" customFormat="1" ht="15.5">
      <c r="B32" s="355"/>
      <c r="C32" s="406" t="s">
        <v>121</v>
      </c>
      <c r="D32" s="407"/>
      <c r="E32" s="407"/>
      <c r="F32" s="407"/>
      <c r="G32" s="407"/>
      <c r="H32" s="407"/>
      <c r="I32" s="407"/>
      <c r="J32" s="407"/>
      <c r="K32" s="407"/>
      <c r="L32" s="407"/>
      <c r="M32" s="407"/>
      <c r="N32" s="407"/>
      <c r="O32" s="408"/>
      <c r="P32" s="86"/>
      <c r="Q32" s="64">
        <f>IF('Master Data'!AC2="Yes",'Master Data'!P34,0)</f>
        <v>67565</v>
      </c>
    </row>
    <row r="33" spans="2:17" s="20" customFormat="1" ht="15.5">
      <c r="B33" s="355"/>
      <c r="C33" s="409" t="s">
        <v>120</v>
      </c>
      <c r="D33" s="410"/>
      <c r="E33" s="410"/>
      <c r="F33" s="410"/>
      <c r="G33" s="410"/>
      <c r="H33" s="410"/>
      <c r="I33" s="410"/>
      <c r="J33" s="410"/>
      <c r="K33" s="410"/>
      <c r="L33" s="410"/>
      <c r="M33" s="410"/>
      <c r="N33" s="410"/>
      <c r="O33" s="411"/>
      <c r="P33" s="86" t="s">
        <v>11</v>
      </c>
      <c r="Q33" s="30">
        <f>'Other Deduction'!E7</f>
        <v>0</v>
      </c>
    </row>
    <row r="34" spans="2:17" s="20" customFormat="1" ht="15.5">
      <c r="B34" s="356"/>
      <c r="C34" s="364" t="s">
        <v>110</v>
      </c>
      <c r="D34" s="364"/>
      <c r="E34" s="364"/>
      <c r="F34" s="364"/>
      <c r="G34" s="364"/>
      <c r="H34" s="364"/>
      <c r="I34" s="364"/>
      <c r="J34" s="364"/>
      <c r="K34" s="364"/>
      <c r="L34" s="364"/>
      <c r="M34" s="364"/>
      <c r="N34" s="364"/>
      <c r="O34" s="364"/>
      <c r="P34" s="86" t="s">
        <v>11</v>
      </c>
      <c r="Q34" s="29">
        <f>SUM(Q31:Q33)</f>
        <v>67565</v>
      </c>
    </row>
    <row r="35" spans="2:17" s="20" customFormat="1" ht="15.5">
      <c r="B35" s="354">
        <v>12</v>
      </c>
      <c r="C35" s="357" t="s">
        <v>119</v>
      </c>
      <c r="D35" s="357"/>
      <c r="E35" s="357"/>
      <c r="F35" s="357"/>
      <c r="G35" s="357"/>
      <c r="H35" s="357"/>
      <c r="I35" s="357"/>
      <c r="J35" s="357"/>
      <c r="K35" s="357"/>
      <c r="L35" s="357"/>
      <c r="M35" s="357"/>
      <c r="N35" s="357"/>
      <c r="O35" s="357"/>
      <c r="P35" s="357"/>
      <c r="Q35" s="358"/>
    </row>
    <row r="36" spans="2:17" s="20" customFormat="1" ht="15.5">
      <c r="B36" s="355"/>
      <c r="C36" s="419" t="s">
        <v>245</v>
      </c>
      <c r="D36" s="420"/>
      <c r="E36" s="420"/>
      <c r="F36" s="420"/>
      <c r="G36" s="420"/>
      <c r="H36" s="420"/>
      <c r="I36" s="420"/>
      <c r="J36" s="420"/>
      <c r="K36" s="420"/>
      <c r="L36" s="420"/>
      <c r="M36" s="420"/>
      <c r="N36" s="420"/>
      <c r="O36" s="421"/>
      <c r="P36" s="86" t="s">
        <v>11</v>
      </c>
      <c r="Q36" s="30">
        <f>'Other Deduction'!E8</f>
        <v>0</v>
      </c>
    </row>
    <row r="37" spans="2:17" s="20" customFormat="1" ht="15.5">
      <c r="B37" s="355"/>
      <c r="C37" s="353" t="s">
        <v>173</v>
      </c>
      <c r="D37" s="353"/>
      <c r="E37" s="353"/>
      <c r="F37" s="353"/>
      <c r="G37" s="353"/>
      <c r="H37" s="353"/>
      <c r="I37" s="353"/>
      <c r="J37" s="353"/>
      <c r="K37" s="353"/>
      <c r="L37" s="353"/>
      <c r="M37" s="353"/>
      <c r="N37" s="353"/>
      <c r="O37" s="353"/>
      <c r="P37" s="86" t="s">
        <v>11</v>
      </c>
      <c r="Q37" s="30">
        <f>'Other Deduction'!E9</f>
        <v>0</v>
      </c>
    </row>
    <row r="38" spans="2:17" s="20" customFormat="1" ht="15.5">
      <c r="B38" s="355"/>
      <c r="C38" s="353" t="s">
        <v>184</v>
      </c>
      <c r="D38" s="353"/>
      <c r="E38" s="353"/>
      <c r="F38" s="353"/>
      <c r="G38" s="353"/>
      <c r="H38" s="353"/>
      <c r="I38" s="353"/>
      <c r="J38" s="353"/>
      <c r="K38" s="353"/>
      <c r="L38" s="353"/>
      <c r="M38" s="353"/>
      <c r="N38" s="353"/>
      <c r="O38" s="353"/>
      <c r="P38" s="86" t="s">
        <v>11</v>
      </c>
      <c r="Q38" s="30">
        <f>'Other Deduction'!E10</f>
        <v>0</v>
      </c>
    </row>
    <row r="39" spans="2:17" s="20" customFormat="1" ht="15.5">
      <c r="B39" s="355"/>
      <c r="C39" s="353" t="s">
        <v>137</v>
      </c>
      <c r="D39" s="353"/>
      <c r="E39" s="353"/>
      <c r="F39" s="353"/>
      <c r="G39" s="353"/>
      <c r="H39" s="353"/>
      <c r="I39" s="353"/>
      <c r="J39" s="353"/>
      <c r="K39" s="353"/>
      <c r="L39" s="353"/>
      <c r="M39" s="353"/>
      <c r="N39" s="353"/>
      <c r="O39" s="353"/>
      <c r="P39" s="86" t="s">
        <v>11</v>
      </c>
      <c r="Q39" s="30">
        <f>'Other Deduction'!E11</f>
        <v>0</v>
      </c>
    </row>
    <row r="40" spans="2:17" s="20" customFormat="1" ht="15.5">
      <c r="B40" s="355"/>
      <c r="C40" s="353" t="s">
        <v>138</v>
      </c>
      <c r="D40" s="353"/>
      <c r="E40" s="353"/>
      <c r="F40" s="353"/>
      <c r="G40" s="353"/>
      <c r="H40" s="353"/>
      <c r="I40" s="353"/>
      <c r="J40" s="353"/>
      <c r="K40" s="353"/>
      <c r="L40" s="353"/>
      <c r="M40" s="353"/>
      <c r="N40" s="353"/>
      <c r="O40" s="353"/>
      <c r="P40" s="86" t="s">
        <v>11</v>
      </c>
      <c r="Q40" s="30">
        <v>0</v>
      </c>
    </row>
    <row r="41" spans="2:17" s="20" customFormat="1" ht="15.5">
      <c r="B41" s="355"/>
      <c r="C41" s="419" t="s">
        <v>139</v>
      </c>
      <c r="D41" s="420"/>
      <c r="E41" s="420"/>
      <c r="F41" s="420"/>
      <c r="G41" s="420"/>
      <c r="H41" s="420"/>
      <c r="I41" s="420"/>
      <c r="J41" s="420"/>
      <c r="K41" s="420"/>
      <c r="L41" s="420"/>
      <c r="M41" s="420"/>
      <c r="N41" s="420"/>
      <c r="O41" s="421"/>
      <c r="P41" s="86" t="s">
        <v>11</v>
      </c>
      <c r="Q41" s="30">
        <f>'Other Deduction'!E13</f>
        <v>0</v>
      </c>
    </row>
    <row r="42" spans="2:17" s="20" customFormat="1" ht="15.5">
      <c r="B42" s="355"/>
      <c r="C42" s="380" t="s">
        <v>175</v>
      </c>
      <c r="D42" s="381"/>
      <c r="E42" s="381"/>
      <c r="F42" s="381"/>
      <c r="G42" s="381"/>
      <c r="H42" s="381"/>
      <c r="I42" s="381"/>
      <c r="J42" s="381"/>
      <c r="K42" s="381"/>
      <c r="L42" s="381"/>
      <c r="M42" s="381"/>
      <c r="N42" s="381"/>
      <c r="O42" s="412"/>
      <c r="P42" s="86" t="s">
        <v>11</v>
      </c>
      <c r="Q42" s="30">
        <f>IF('Master Data'!Q5="Yes",IF('Other Deduction'!E3&lt;50001,'Other Deduction'!E3,50000),IF('Other Deduction'!E3&lt;10001,'Other Deduction'!E3,10000))</f>
        <v>0</v>
      </c>
    </row>
    <row r="43" spans="2:17" s="20" customFormat="1" ht="15.5">
      <c r="B43" s="355"/>
      <c r="C43" s="380" t="s">
        <v>108</v>
      </c>
      <c r="D43" s="381"/>
      <c r="E43" s="381"/>
      <c r="F43" s="381"/>
      <c r="G43" s="381"/>
      <c r="H43" s="381"/>
      <c r="I43" s="381"/>
      <c r="J43" s="381"/>
      <c r="K43" s="381"/>
      <c r="L43" s="381"/>
      <c r="M43" s="381"/>
      <c r="N43" s="381"/>
      <c r="O43" s="412"/>
      <c r="P43" s="86" t="s">
        <v>11</v>
      </c>
      <c r="Q43" s="30">
        <f>'Other Deduction'!E14</f>
        <v>0</v>
      </c>
    </row>
    <row r="44" spans="2:17" s="20" customFormat="1" ht="15.5">
      <c r="B44" s="356"/>
      <c r="C44" s="364" t="s">
        <v>55</v>
      </c>
      <c r="D44" s="364"/>
      <c r="E44" s="364"/>
      <c r="F44" s="364"/>
      <c r="G44" s="364"/>
      <c r="H44" s="364"/>
      <c r="I44" s="364"/>
      <c r="J44" s="364"/>
      <c r="K44" s="364"/>
      <c r="L44" s="364"/>
      <c r="M44" s="364"/>
      <c r="N44" s="364"/>
      <c r="O44" s="364"/>
      <c r="P44" s="86" t="s">
        <v>11</v>
      </c>
      <c r="Q44" s="31">
        <v>0</v>
      </c>
    </row>
    <row r="45" spans="2:17" s="20" customFormat="1" ht="15.5">
      <c r="B45" s="28">
        <v>13</v>
      </c>
      <c r="C45" s="357" t="s">
        <v>115</v>
      </c>
      <c r="D45" s="357"/>
      <c r="E45" s="357"/>
      <c r="F45" s="357"/>
      <c r="G45" s="357"/>
      <c r="H45" s="357"/>
      <c r="I45" s="357"/>
      <c r="J45" s="357"/>
      <c r="K45" s="357"/>
      <c r="L45" s="357"/>
      <c r="M45" s="357"/>
      <c r="N45" s="357"/>
      <c r="O45" s="357"/>
      <c r="P45" s="86" t="s">
        <v>11</v>
      </c>
      <c r="Q45" s="30">
        <f>Q34+Q44</f>
        <v>67565</v>
      </c>
    </row>
    <row r="46" spans="2:17" s="20" customFormat="1" ht="15.5">
      <c r="B46" s="28">
        <v>14</v>
      </c>
      <c r="C46" s="353" t="s">
        <v>66</v>
      </c>
      <c r="D46" s="353"/>
      <c r="E46" s="353"/>
      <c r="F46" s="353"/>
      <c r="G46" s="353"/>
      <c r="H46" s="353"/>
      <c r="I46" s="353"/>
      <c r="J46" s="353"/>
      <c r="K46" s="353"/>
      <c r="L46" s="353"/>
      <c r="M46" s="353"/>
      <c r="N46" s="353"/>
      <c r="O46" s="353"/>
      <c r="P46" s="86" t="s">
        <v>11</v>
      </c>
      <c r="Q46" s="30">
        <f>(Q17-Q45)</f>
        <v>756032</v>
      </c>
    </row>
    <row r="47" spans="2:17" s="20" customFormat="1" ht="15.5">
      <c r="B47" s="28">
        <v>15</v>
      </c>
      <c r="C47" s="357" t="s">
        <v>155</v>
      </c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86" t="s">
        <v>11</v>
      </c>
      <c r="Q47" s="29">
        <f>ROUND(Q46,-1)</f>
        <v>756030</v>
      </c>
    </row>
    <row r="48" spans="2:17" s="20" customFormat="1" ht="15.5">
      <c r="B48" s="354">
        <v>16</v>
      </c>
      <c r="C48" s="353" t="s">
        <v>56</v>
      </c>
      <c r="D48" s="353"/>
      <c r="E48" s="353"/>
      <c r="F48" s="353"/>
      <c r="G48" s="353"/>
      <c r="H48" s="353"/>
      <c r="I48" s="353"/>
      <c r="J48" s="353"/>
      <c r="K48" s="353"/>
      <c r="L48" s="353"/>
      <c r="M48" s="353"/>
      <c r="N48" s="353"/>
      <c r="O48" s="353"/>
      <c r="P48" s="353"/>
      <c r="Q48" s="443"/>
    </row>
    <row r="49" spans="2:17" s="20" customFormat="1" ht="15.5">
      <c r="B49" s="355"/>
      <c r="C49" s="444" t="s">
        <v>82</v>
      </c>
      <c r="D49" s="444"/>
      <c r="E49" s="444"/>
      <c r="F49" s="444"/>
      <c r="G49" s="444"/>
      <c r="H49" s="444" t="s">
        <v>97</v>
      </c>
      <c r="I49" s="444"/>
      <c r="J49" s="444"/>
      <c r="K49" s="444"/>
      <c r="L49" s="445" t="s">
        <v>114</v>
      </c>
      <c r="M49" s="446"/>
      <c r="N49" s="446"/>
      <c r="O49" s="447"/>
      <c r="P49" s="9"/>
      <c r="Q49" s="32"/>
    </row>
    <row r="50" spans="2:17" s="20" customFormat="1" ht="15.5">
      <c r="B50" s="355"/>
      <c r="C50" s="359" t="s">
        <v>185</v>
      </c>
      <c r="D50" s="360"/>
      <c r="E50" s="361"/>
      <c r="F50" s="363" t="s">
        <v>57</v>
      </c>
      <c r="G50" s="363"/>
      <c r="H50" s="425" t="s">
        <v>98</v>
      </c>
      <c r="I50" s="426"/>
      <c r="J50" s="427"/>
      <c r="K50" s="89" t="s">
        <v>57</v>
      </c>
      <c r="L50" s="425" t="s">
        <v>98</v>
      </c>
      <c r="M50" s="426"/>
      <c r="N50" s="427"/>
      <c r="O50" s="94" t="s">
        <v>57</v>
      </c>
      <c r="P50" s="86" t="s">
        <v>11</v>
      </c>
      <c r="Q50" s="33">
        <v>0</v>
      </c>
    </row>
    <row r="51" spans="2:17" s="20" customFormat="1" ht="15.5">
      <c r="B51" s="355"/>
      <c r="C51" s="359" t="s">
        <v>58</v>
      </c>
      <c r="D51" s="360"/>
      <c r="E51" s="361"/>
      <c r="F51" s="362">
        <v>0.05</v>
      </c>
      <c r="G51" s="363"/>
      <c r="H51" s="359" t="s">
        <v>58</v>
      </c>
      <c r="I51" s="360"/>
      <c r="J51" s="361"/>
      <c r="K51" s="88">
        <v>0.05</v>
      </c>
      <c r="L51" s="425" t="s">
        <v>84</v>
      </c>
      <c r="M51" s="426"/>
      <c r="N51" s="427"/>
      <c r="O51" s="93">
        <v>0.05</v>
      </c>
      <c r="P51" s="86" t="s">
        <v>11</v>
      </c>
      <c r="Q51" s="33">
        <f>ROUND(IF('Master Data'!Q5="No",IF(Q47&lt;250001,0,IF(Q47&gt;500000,12500,((Q47-250000)*0.05))),IF(Q47&lt;300001,0,IF(Q47&gt;500000,10000,((Q47-300000)*0.05)))),0)</f>
        <v>12500</v>
      </c>
    </row>
    <row r="52" spans="2:17" s="20" customFormat="1" ht="15.5">
      <c r="B52" s="355"/>
      <c r="C52" s="359" t="s">
        <v>186</v>
      </c>
      <c r="D52" s="360"/>
      <c r="E52" s="361"/>
      <c r="F52" s="362">
        <v>0.1</v>
      </c>
      <c r="G52" s="363"/>
      <c r="H52" s="359" t="s">
        <v>186</v>
      </c>
      <c r="I52" s="360"/>
      <c r="J52" s="361"/>
      <c r="K52" s="88">
        <v>0.1</v>
      </c>
      <c r="L52" s="359" t="s">
        <v>186</v>
      </c>
      <c r="M52" s="360"/>
      <c r="N52" s="361"/>
      <c r="O52" s="91">
        <v>0.1</v>
      </c>
      <c r="P52" s="86" t="s">
        <v>11</v>
      </c>
      <c r="Q52" s="33">
        <f>IF(Q47&lt;500001,0,IF(Q47&gt;750000,25000,((Q47-500000)*0.1)))</f>
        <v>25000</v>
      </c>
    </row>
    <row r="53" spans="2:17" s="20" customFormat="1" ht="15.5">
      <c r="B53" s="355"/>
      <c r="C53" s="359" t="s">
        <v>187</v>
      </c>
      <c r="D53" s="360"/>
      <c r="E53" s="361"/>
      <c r="F53" s="362">
        <v>0.15</v>
      </c>
      <c r="G53" s="363"/>
      <c r="H53" s="359" t="s">
        <v>187</v>
      </c>
      <c r="I53" s="360"/>
      <c r="J53" s="361"/>
      <c r="K53" s="88">
        <v>0.15</v>
      </c>
      <c r="L53" s="359" t="s">
        <v>187</v>
      </c>
      <c r="M53" s="360"/>
      <c r="N53" s="361"/>
      <c r="O53" s="91">
        <v>0.15</v>
      </c>
      <c r="P53" s="90" t="s">
        <v>11</v>
      </c>
      <c r="Q53" s="33">
        <f>IF(Q47&lt;750001,0,IF(Q47&gt;1000000,37500,((Q47-750000)*0.15)))</f>
        <v>904.5</v>
      </c>
    </row>
    <row r="54" spans="2:17" s="20" customFormat="1" ht="15.5">
      <c r="B54" s="355"/>
      <c r="C54" s="359" t="s">
        <v>188</v>
      </c>
      <c r="D54" s="360"/>
      <c r="E54" s="361"/>
      <c r="F54" s="362">
        <v>0.2</v>
      </c>
      <c r="G54" s="363"/>
      <c r="H54" s="359" t="s">
        <v>188</v>
      </c>
      <c r="I54" s="360"/>
      <c r="J54" s="361"/>
      <c r="K54" s="88">
        <v>0.2</v>
      </c>
      <c r="L54" s="359" t="s">
        <v>188</v>
      </c>
      <c r="M54" s="360"/>
      <c r="N54" s="361"/>
      <c r="O54" s="91">
        <v>0.2</v>
      </c>
      <c r="P54" s="90" t="s">
        <v>11</v>
      </c>
      <c r="Q54" s="33">
        <f>IF(Q47&lt;1000001,0,IF(Q47&gt;1250000,50000,((Q47-1000000)*0.2)))</f>
        <v>0</v>
      </c>
    </row>
    <row r="55" spans="2:17" s="20" customFormat="1" ht="15.5">
      <c r="B55" s="355"/>
      <c r="C55" s="359" t="s">
        <v>189</v>
      </c>
      <c r="D55" s="360"/>
      <c r="E55" s="361"/>
      <c r="F55" s="362">
        <v>0.25</v>
      </c>
      <c r="G55" s="363"/>
      <c r="H55" s="359" t="s">
        <v>189</v>
      </c>
      <c r="I55" s="360"/>
      <c r="J55" s="361"/>
      <c r="K55" s="88">
        <v>0.25</v>
      </c>
      <c r="L55" s="359" t="s">
        <v>189</v>
      </c>
      <c r="M55" s="360"/>
      <c r="N55" s="361"/>
      <c r="O55" s="91">
        <v>0.25</v>
      </c>
      <c r="P55" s="90" t="s">
        <v>11</v>
      </c>
      <c r="Q55" s="33">
        <f>IF(Q47&lt;1250001,0,IF(Q47&gt;1500000,62500,((Q47-1250000)*0.25)))</f>
        <v>0</v>
      </c>
    </row>
    <row r="56" spans="2:17" s="20" customFormat="1" ht="15.5">
      <c r="B56" s="355"/>
      <c r="C56" s="422" t="s">
        <v>190</v>
      </c>
      <c r="D56" s="423"/>
      <c r="E56" s="424"/>
      <c r="F56" s="362">
        <v>0.3</v>
      </c>
      <c r="G56" s="363"/>
      <c r="H56" s="422" t="s">
        <v>190</v>
      </c>
      <c r="I56" s="423"/>
      <c r="J56" s="424"/>
      <c r="K56" s="88">
        <v>0.3</v>
      </c>
      <c r="L56" s="422" t="s">
        <v>190</v>
      </c>
      <c r="M56" s="423"/>
      <c r="N56" s="424"/>
      <c r="O56" s="91">
        <v>0.3</v>
      </c>
      <c r="P56" s="86" t="s">
        <v>11</v>
      </c>
      <c r="Q56" s="33">
        <f>IF(Q47&lt;1500001,0,((Q47-1500000)*0.3))</f>
        <v>0</v>
      </c>
    </row>
    <row r="57" spans="2:17" s="20" customFormat="1" ht="15.5">
      <c r="B57" s="355"/>
      <c r="C57" s="435" t="s">
        <v>67</v>
      </c>
      <c r="D57" s="436"/>
      <c r="E57" s="436"/>
      <c r="F57" s="436"/>
      <c r="G57" s="436"/>
      <c r="H57" s="436"/>
      <c r="I57" s="436"/>
      <c r="J57" s="436"/>
      <c r="K57" s="436"/>
      <c r="L57" s="436"/>
      <c r="M57" s="436"/>
      <c r="N57" s="436"/>
      <c r="O57" s="437"/>
      <c r="P57" s="86" t="s">
        <v>11</v>
      </c>
      <c r="Q57" s="29">
        <f>SUM(Q50:Q56)</f>
        <v>38404.5</v>
      </c>
    </row>
    <row r="58" spans="2:17" s="20" customFormat="1" ht="15.5">
      <c r="B58" s="355"/>
      <c r="C58" s="438" t="s">
        <v>176</v>
      </c>
      <c r="D58" s="439"/>
      <c r="E58" s="439"/>
      <c r="F58" s="439"/>
      <c r="G58" s="439"/>
      <c r="H58" s="439"/>
      <c r="I58" s="439"/>
      <c r="J58" s="439"/>
      <c r="K58" s="439"/>
      <c r="L58" s="439"/>
      <c r="M58" s="439"/>
      <c r="N58" s="439"/>
      <c r="O58" s="440"/>
      <c r="P58" s="86" t="s">
        <v>11</v>
      </c>
      <c r="Q58" s="30">
        <f>IF(Q47&gt;500000,0,IF(Q57&lt;12501,Q57,12500))</f>
        <v>0</v>
      </c>
    </row>
    <row r="59" spans="2:17" s="20" customFormat="1" ht="15.5">
      <c r="B59" s="355"/>
      <c r="C59" s="435" t="s">
        <v>100</v>
      </c>
      <c r="D59" s="436"/>
      <c r="E59" s="436"/>
      <c r="F59" s="436"/>
      <c r="G59" s="436"/>
      <c r="H59" s="436"/>
      <c r="I59" s="436"/>
      <c r="J59" s="436"/>
      <c r="K59" s="436"/>
      <c r="L59" s="436"/>
      <c r="M59" s="436"/>
      <c r="N59" s="436"/>
      <c r="O59" s="437"/>
      <c r="P59" s="86" t="s">
        <v>11</v>
      </c>
      <c r="Q59" s="29">
        <f>Q57-Q58</f>
        <v>38404.5</v>
      </c>
    </row>
    <row r="60" spans="2:17" s="20" customFormat="1" ht="15.5">
      <c r="B60" s="355"/>
      <c r="C60" s="441" t="s">
        <v>169</v>
      </c>
      <c r="D60" s="441"/>
      <c r="E60" s="441"/>
      <c r="F60" s="441"/>
      <c r="G60" s="441"/>
      <c r="H60" s="441"/>
      <c r="I60" s="441"/>
      <c r="J60" s="441"/>
      <c r="K60" s="441"/>
      <c r="L60" s="441"/>
      <c r="M60" s="441"/>
      <c r="N60" s="441"/>
      <c r="O60" s="441"/>
      <c r="P60" s="86" t="s">
        <v>11</v>
      </c>
      <c r="Q60" s="30">
        <f>ROUND(Q59*0.04,0)</f>
        <v>1536</v>
      </c>
    </row>
    <row r="61" spans="2:17" s="20" customFormat="1" ht="15.5">
      <c r="B61" s="356"/>
      <c r="C61" s="442" t="s">
        <v>101</v>
      </c>
      <c r="D61" s="442"/>
      <c r="E61" s="442"/>
      <c r="F61" s="442"/>
      <c r="G61" s="442"/>
      <c r="H61" s="442"/>
      <c r="I61" s="442"/>
      <c r="J61" s="442"/>
      <c r="K61" s="442"/>
      <c r="L61" s="442"/>
      <c r="M61" s="442"/>
      <c r="N61" s="442"/>
      <c r="O61" s="442"/>
      <c r="P61" s="86" t="s">
        <v>11</v>
      </c>
      <c r="Q61" s="29">
        <f>SUM(Q59:Q60)</f>
        <v>39940.5</v>
      </c>
    </row>
    <row r="62" spans="2:17" s="20" customFormat="1" ht="15.5">
      <c r="B62" s="28">
        <v>17</v>
      </c>
      <c r="C62" s="380" t="s">
        <v>68</v>
      </c>
      <c r="D62" s="381"/>
      <c r="E62" s="381"/>
      <c r="F62" s="381"/>
      <c r="G62" s="381"/>
      <c r="H62" s="381"/>
      <c r="I62" s="381"/>
      <c r="J62" s="381"/>
      <c r="K62" s="381"/>
      <c r="L62" s="381"/>
      <c r="M62" s="381"/>
      <c r="N62" s="381"/>
      <c r="O62" s="412"/>
      <c r="P62" s="86" t="s">
        <v>11</v>
      </c>
      <c r="Q62" s="30">
        <f>'Other Deduction'!E17</f>
        <v>0</v>
      </c>
    </row>
    <row r="63" spans="2:17" s="20" customFormat="1" ht="15.5">
      <c r="B63" s="28">
        <v>18</v>
      </c>
      <c r="C63" s="357" t="s">
        <v>85</v>
      </c>
      <c r="D63" s="357"/>
      <c r="E63" s="357"/>
      <c r="F63" s="357"/>
      <c r="G63" s="357"/>
      <c r="H63" s="357"/>
      <c r="I63" s="357"/>
      <c r="J63" s="357"/>
      <c r="K63" s="357"/>
      <c r="L63" s="357"/>
      <c r="M63" s="357"/>
      <c r="N63" s="357"/>
      <c r="O63" s="357"/>
      <c r="P63" s="86" t="s">
        <v>11</v>
      </c>
      <c r="Q63" s="29">
        <f>Q61-Q62</f>
        <v>39940.5</v>
      </c>
    </row>
    <row r="64" spans="2:17" ht="31">
      <c r="B64" s="354">
        <v>19</v>
      </c>
      <c r="C64" s="428" t="s">
        <v>60</v>
      </c>
      <c r="D64" s="428"/>
      <c r="E64" s="429"/>
      <c r="F64" s="432" t="s">
        <v>236</v>
      </c>
      <c r="G64" s="432"/>
      <c r="H64" s="432"/>
      <c r="I64" s="432"/>
      <c r="J64" s="433" t="s">
        <v>237</v>
      </c>
      <c r="K64" s="434"/>
      <c r="L64" s="117" t="s">
        <v>238</v>
      </c>
      <c r="M64" s="433" t="s">
        <v>239</v>
      </c>
      <c r="N64" s="434"/>
      <c r="O64" s="87" t="s">
        <v>89</v>
      </c>
      <c r="P64" s="433" t="s">
        <v>154</v>
      </c>
      <c r="Q64" s="450"/>
    </row>
    <row r="65" spans="1:18" ht="15.5">
      <c r="B65" s="356"/>
      <c r="C65" s="430"/>
      <c r="D65" s="430"/>
      <c r="E65" s="431"/>
      <c r="F65" s="451">
        <f>SUM('Master Data'!Z13:Z19)</f>
        <v>0</v>
      </c>
      <c r="G65" s="451"/>
      <c r="H65" s="451"/>
      <c r="I65" s="451"/>
      <c r="J65" s="451">
        <f>SUM('Master Data'!Z20:Z22)</f>
        <v>0</v>
      </c>
      <c r="K65" s="451"/>
      <c r="L65" s="25">
        <f>'Master Data'!Z23</f>
        <v>0</v>
      </c>
      <c r="M65" s="451">
        <f>'Master Data'!Z24</f>
        <v>0</v>
      </c>
      <c r="N65" s="451"/>
      <c r="O65" s="56">
        <f>SUM('Master Data'!Z25:Z33)+'Other Deduction'!E18</f>
        <v>0</v>
      </c>
      <c r="P65" s="452">
        <f>F65+J65+L65+M65+O65</f>
        <v>0</v>
      </c>
      <c r="Q65" s="453"/>
    </row>
    <row r="66" spans="1:18" ht="16" thickBot="1">
      <c r="B66" s="454" t="str">
        <f>IF(Q63&gt;P65,"Income Tax Payable",IF(Q63&lt;P65,"Income Tax Refundable","Income Tax Payble/Refundable"))</f>
        <v>Income Tax Payable</v>
      </c>
      <c r="C66" s="455"/>
      <c r="D66" s="455"/>
      <c r="E66" s="455"/>
      <c r="F66" s="455"/>
      <c r="G66" s="455"/>
      <c r="H66" s="455"/>
      <c r="I66" s="455"/>
      <c r="J66" s="455"/>
      <c r="K66" s="455"/>
      <c r="L66" s="455"/>
      <c r="M66" s="455"/>
      <c r="N66" s="455"/>
      <c r="O66" s="455"/>
      <c r="P66" s="34" t="s">
        <v>11</v>
      </c>
      <c r="Q66" s="35">
        <f>IF(Q63&gt;P65,Q63-P65,P65-Q63)</f>
        <v>39940.5</v>
      </c>
    </row>
    <row r="67" spans="1:18" ht="15.5"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40"/>
      <c r="Q67" s="41"/>
    </row>
    <row r="68" spans="1:18" ht="16.5">
      <c r="B68" s="10"/>
      <c r="C68" s="11"/>
      <c r="D68" s="11"/>
      <c r="E68" s="42" t="s">
        <v>116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57" customFormat="1" ht="1.75" customHeight="1">
      <c r="B70" s="58"/>
      <c r="C70" s="449"/>
      <c r="D70" s="449"/>
      <c r="E70" s="449"/>
      <c r="F70" s="449"/>
      <c r="G70" s="449"/>
      <c r="H70" s="449"/>
      <c r="I70" s="449"/>
      <c r="J70" s="449"/>
      <c r="K70" s="449"/>
      <c r="L70" s="449"/>
      <c r="M70" s="449"/>
      <c r="N70" s="449"/>
      <c r="O70" s="449"/>
      <c r="P70" s="449"/>
      <c r="Q70" s="449"/>
    </row>
    <row r="71" spans="1:18" s="57" customFormat="1" ht="15.5" hidden="1">
      <c r="B71" s="59"/>
      <c r="C71" s="449"/>
      <c r="D71" s="449"/>
      <c r="E71" s="449"/>
      <c r="F71" s="449"/>
      <c r="G71" s="449"/>
      <c r="H71" s="449"/>
      <c r="I71" s="449"/>
      <c r="J71" s="449"/>
      <c r="K71" s="449"/>
      <c r="L71" s="449"/>
      <c r="M71" s="449"/>
      <c r="N71" s="449"/>
      <c r="O71" s="449"/>
      <c r="P71" s="449"/>
      <c r="Q71" s="449"/>
    </row>
    <row r="72" spans="1:18" s="57" customFormat="1" ht="15.5" hidden="1">
      <c r="B72" s="58"/>
      <c r="C72" s="449"/>
      <c r="D72" s="449"/>
      <c r="E72" s="449"/>
      <c r="F72" s="449"/>
      <c r="G72" s="449"/>
      <c r="H72" s="449"/>
      <c r="I72" s="449"/>
      <c r="J72" s="449"/>
      <c r="K72" s="449"/>
      <c r="L72" s="449"/>
      <c r="M72" s="449"/>
      <c r="N72" s="449"/>
      <c r="O72" s="449"/>
      <c r="P72" s="449"/>
      <c r="Q72" s="449"/>
    </row>
    <row r="73" spans="1:18" s="57" customFormat="1" ht="15.5" hidden="1">
      <c r="B73" s="58"/>
      <c r="C73" s="60"/>
      <c r="D73" s="60"/>
      <c r="E73" s="60"/>
      <c r="F73" s="60"/>
      <c r="G73" s="60"/>
      <c r="H73" s="60"/>
      <c r="I73" s="60"/>
      <c r="J73" s="60"/>
      <c r="K73" s="60"/>
      <c r="L73" s="279"/>
      <c r="M73" s="279"/>
      <c r="N73" s="279"/>
      <c r="O73" s="279"/>
      <c r="P73" s="279"/>
      <c r="Q73" s="279"/>
    </row>
    <row r="74" spans="1:18" s="57" customFormat="1" ht="15.5" hidden="1">
      <c r="B74" s="58"/>
      <c r="C74" s="60"/>
      <c r="D74" s="60"/>
      <c r="E74" s="60"/>
      <c r="F74" s="60"/>
      <c r="G74" s="60"/>
      <c r="H74" s="60"/>
      <c r="I74" s="60"/>
      <c r="J74" s="60"/>
      <c r="K74" s="60"/>
      <c r="L74" s="279"/>
      <c r="M74" s="279"/>
      <c r="N74" s="279"/>
      <c r="O74" s="279"/>
      <c r="P74" s="279"/>
      <c r="Q74" s="279"/>
    </row>
    <row r="75" spans="1:18" s="57" customFormat="1" ht="15.5" hidden="1">
      <c r="B75" s="58"/>
      <c r="C75" s="60"/>
      <c r="D75" s="60"/>
      <c r="E75" s="60"/>
      <c r="F75" s="60"/>
      <c r="G75" s="60"/>
      <c r="H75" s="60"/>
      <c r="I75" s="60"/>
      <c r="J75" s="60"/>
      <c r="K75" s="60"/>
      <c r="L75" s="279"/>
      <c r="M75" s="279"/>
      <c r="N75" s="279"/>
      <c r="O75" s="279"/>
      <c r="P75" s="279"/>
      <c r="Q75" s="279"/>
    </row>
    <row r="76" spans="1:18" s="57" customFormat="1" ht="15.5" hidden="1">
      <c r="B76" s="58"/>
      <c r="C76" s="60"/>
      <c r="D76" s="60"/>
      <c r="E76" s="60"/>
      <c r="F76" s="60"/>
      <c r="G76" s="60"/>
      <c r="H76" s="60"/>
      <c r="I76" s="60"/>
      <c r="J76" s="60"/>
      <c r="K76" s="60"/>
      <c r="L76" s="279"/>
      <c r="M76" s="279"/>
      <c r="N76" s="279"/>
      <c r="O76" s="279"/>
      <c r="P76" s="279"/>
      <c r="Q76" s="279"/>
    </row>
    <row r="77" spans="1:18" s="57" customFormat="1" ht="15.5" hidden="1">
      <c r="B77" s="58"/>
      <c r="C77" s="60"/>
      <c r="D77" s="60"/>
      <c r="E77" s="60"/>
      <c r="F77" s="60"/>
      <c r="G77" s="60"/>
      <c r="H77" s="60"/>
      <c r="I77" s="60"/>
      <c r="J77" s="60"/>
      <c r="K77" s="60"/>
      <c r="L77" s="279"/>
      <c r="M77" s="279"/>
      <c r="N77" s="279"/>
      <c r="O77" s="279"/>
      <c r="P77" s="279"/>
      <c r="Q77" s="279"/>
    </row>
    <row r="78" spans="1:18" s="57" customFormat="1" ht="15.5" hidden="1">
      <c r="B78" s="59"/>
      <c r="C78" s="61"/>
      <c r="D78" s="349"/>
      <c r="E78" s="349"/>
      <c r="F78" s="349"/>
      <c r="G78" s="349"/>
      <c r="H78" s="349"/>
      <c r="I78" s="349"/>
      <c r="J78" s="349"/>
      <c r="K78" s="61"/>
      <c r="L78" s="279"/>
      <c r="M78" s="279"/>
      <c r="N78" s="279"/>
      <c r="O78" s="279"/>
      <c r="P78" s="279"/>
      <c r="Q78" s="279"/>
    </row>
    <row r="79" spans="1:18" s="57" customFormat="1" ht="15.5" hidden="1">
      <c r="B79" s="59"/>
      <c r="C79" s="61"/>
      <c r="D79" s="61"/>
      <c r="E79" s="61"/>
      <c r="F79" s="61"/>
      <c r="G79" s="61"/>
      <c r="H79" s="61"/>
      <c r="I79" s="61"/>
      <c r="J79" s="61"/>
      <c r="K79" s="61"/>
      <c r="L79" s="279"/>
      <c r="M79" s="279"/>
      <c r="N79" s="279"/>
      <c r="O79" s="279"/>
      <c r="P79" s="279"/>
      <c r="Q79" s="279"/>
    </row>
    <row r="80" spans="1:18" ht="15.65" hidden="1" customHeight="1">
      <c r="A80" s="51"/>
      <c r="B80" s="448"/>
      <c r="C80" s="448"/>
      <c r="D80" s="448"/>
      <c r="E80" s="448"/>
      <c r="F80" s="448"/>
      <c r="G80" s="448"/>
      <c r="H80" s="448"/>
      <c r="I80" s="448"/>
      <c r="J80" s="448"/>
      <c r="K80" s="448"/>
      <c r="L80" s="448"/>
      <c r="M80" s="448"/>
      <c r="N80" s="448"/>
      <c r="O80" s="448"/>
      <c r="P80" s="448"/>
      <c r="Q80" s="448"/>
      <c r="R80" s="99"/>
    </row>
    <row r="81" spans="1:18" ht="15.65" hidden="1" customHeight="1">
      <c r="A81" s="51"/>
      <c r="B81" s="448"/>
      <c r="C81" s="448"/>
      <c r="D81" s="448"/>
      <c r="E81" s="448"/>
      <c r="F81" s="448"/>
      <c r="G81" s="448"/>
      <c r="H81" s="448"/>
      <c r="I81" s="448"/>
      <c r="J81" s="448"/>
      <c r="K81" s="448"/>
      <c r="L81" s="448"/>
      <c r="M81" s="448"/>
      <c r="N81" s="448"/>
      <c r="O81" s="448"/>
      <c r="P81" s="448"/>
      <c r="Q81" s="448"/>
      <c r="R81" s="99"/>
    </row>
    <row r="82" spans="1:18" ht="15.65" hidden="1" customHeight="1">
      <c r="A82" s="51"/>
      <c r="B82" s="448"/>
      <c r="C82" s="448"/>
      <c r="D82" s="448"/>
      <c r="E82" s="448"/>
      <c r="F82" s="448"/>
      <c r="G82" s="448"/>
      <c r="H82" s="448"/>
      <c r="I82" s="448"/>
      <c r="J82" s="448"/>
      <c r="K82" s="448"/>
      <c r="L82" s="448"/>
      <c r="M82" s="448"/>
      <c r="N82" s="448"/>
      <c r="O82" s="448"/>
      <c r="P82" s="448"/>
      <c r="Q82" s="448"/>
      <c r="R82" s="99"/>
    </row>
    <row r="83" spans="1:18" ht="15.65" hidden="1" customHeight="1"/>
  </sheetData>
  <sheetProtection password="FC12" sheet="1" objects="1" scenarios="1"/>
  <mergeCells count="134">
    <mergeCell ref="B80:Q82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M64:N64"/>
    <mergeCell ref="C57:O57"/>
    <mergeCell ref="C58:O58"/>
    <mergeCell ref="C59:O59"/>
    <mergeCell ref="C60:O60"/>
    <mergeCell ref="C61:O61"/>
    <mergeCell ref="C62:O62"/>
    <mergeCell ref="B48:B61"/>
    <mergeCell ref="C48:Q48"/>
    <mergeCell ref="C49:G49"/>
    <mergeCell ref="H49:K49"/>
    <mergeCell ref="L49:O49"/>
    <mergeCell ref="C52:E52"/>
    <mergeCell ref="F52:G52"/>
    <mergeCell ref="H52:J52"/>
    <mergeCell ref="L52:N52"/>
    <mergeCell ref="C56:E56"/>
    <mergeCell ref="F56:G56"/>
    <mergeCell ref="H56:J56"/>
    <mergeCell ref="L56:N56"/>
    <mergeCell ref="C50:E50"/>
    <mergeCell ref="F50:G50"/>
    <mergeCell ref="H50:J50"/>
    <mergeCell ref="L50:N50"/>
    <mergeCell ref="C51:E51"/>
    <mergeCell ref="F51:G51"/>
    <mergeCell ref="H51:J51"/>
    <mergeCell ref="L51:N51"/>
    <mergeCell ref="C55:E55"/>
    <mergeCell ref="F55:G55"/>
    <mergeCell ref="H55:J55"/>
    <mergeCell ref="L55:N55"/>
    <mergeCell ref="C54:E54"/>
    <mergeCell ref="F54:G54"/>
    <mergeCell ref="H54:J54"/>
    <mergeCell ref="L54:N5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44:O44"/>
    <mergeCell ref="K23:M23"/>
    <mergeCell ref="D24:G24"/>
    <mergeCell ref="K24:M24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D29:G29"/>
    <mergeCell ref="K29:M29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B11:B13"/>
    <mergeCell ref="C11:J11"/>
    <mergeCell ref="C4:O4"/>
    <mergeCell ref="C5:O5"/>
    <mergeCell ref="C6:O6"/>
    <mergeCell ref="B7:B9"/>
    <mergeCell ref="C7:L7"/>
    <mergeCell ref="M7:O7"/>
    <mergeCell ref="C14:O14"/>
    <mergeCell ref="C15:O15"/>
    <mergeCell ref="K11:L11"/>
    <mergeCell ref="M11:O11"/>
    <mergeCell ref="C16:O16"/>
    <mergeCell ref="C17:O17"/>
    <mergeCell ref="B18:B34"/>
    <mergeCell ref="C18:Q18"/>
    <mergeCell ref="C53:E53"/>
    <mergeCell ref="F53:G53"/>
    <mergeCell ref="H53:J53"/>
    <mergeCell ref="L53:N53"/>
    <mergeCell ref="C34:O34"/>
    <mergeCell ref="C45:O45"/>
    <mergeCell ref="C46:O46"/>
    <mergeCell ref="C47:O47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D22:G22"/>
    <mergeCell ref="K22:M22"/>
    <mergeCell ref="D23:G23"/>
  </mergeCells>
  <pageMargins left="0.53" right="0.42" top="0.18" bottom="0.28000000000000003" header="0.3" footer="0.26"/>
  <pageSetup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K6" sqref="K6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464" t="s">
        <v>219</v>
      </c>
      <c r="B1" s="465"/>
      <c r="C1" s="465"/>
      <c r="D1" s="465"/>
      <c r="E1" s="465"/>
      <c r="F1" s="465"/>
      <c r="G1" s="465"/>
      <c r="H1" s="465"/>
      <c r="I1" s="465"/>
      <c r="J1" s="466"/>
    </row>
    <row r="2" spans="1:10" ht="5" customHeight="1">
      <c r="A2" s="125"/>
      <c r="B2" s="118"/>
      <c r="C2" s="118"/>
      <c r="D2" s="118"/>
      <c r="E2" s="118"/>
      <c r="F2" s="118"/>
      <c r="G2" s="118"/>
      <c r="H2" s="118"/>
      <c r="I2" s="118"/>
      <c r="J2" s="126"/>
    </row>
    <row r="3" spans="1:10" ht="21.5" customHeight="1" thickBot="1">
      <c r="A3" s="467" t="s">
        <v>220</v>
      </c>
      <c r="B3" s="468"/>
      <c r="C3" s="468"/>
      <c r="D3" s="468"/>
      <c r="E3" s="468"/>
      <c r="F3" s="468"/>
      <c r="G3" s="468"/>
      <c r="H3" s="468"/>
      <c r="I3" s="468"/>
      <c r="J3" s="469"/>
    </row>
    <row r="4" spans="1:10" ht="21.5" customHeight="1">
      <c r="A4" s="133"/>
      <c r="B4" s="134"/>
      <c r="C4" s="134"/>
      <c r="D4" s="134"/>
      <c r="E4" s="134"/>
      <c r="F4" s="134"/>
      <c r="G4" s="134"/>
      <c r="H4" s="134"/>
      <c r="I4" s="134"/>
      <c r="J4" s="135"/>
    </row>
    <row r="5" spans="1:10" ht="21.5" customHeight="1">
      <c r="A5" s="125"/>
      <c r="B5" s="118"/>
      <c r="C5" s="118"/>
      <c r="D5" s="118"/>
      <c r="E5" s="118"/>
      <c r="F5" s="118"/>
      <c r="G5" s="118"/>
      <c r="H5" s="118"/>
      <c r="I5" s="194" t="s">
        <v>221</v>
      </c>
      <c r="J5" s="137" t="s">
        <v>234</v>
      </c>
    </row>
    <row r="6" spans="1:10" ht="21.5" customHeight="1">
      <c r="A6" s="125"/>
      <c r="B6" s="118"/>
      <c r="C6" s="118"/>
      <c r="D6" s="118"/>
      <c r="E6" s="118"/>
      <c r="F6" s="118"/>
      <c r="G6" s="118"/>
      <c r="H6" s="118"/>
      <c r="I6" s="118"/>
      <c r="J6" s="126"/>
    </row>
    <row r="7" spans="1:10" ht="29.5" customHeight="1">
      <c r="A7" s="127"/>
      <c r="B7" s="119" t="s">
        <v>224</v>
      </c>
      <c r="C7" s="119"/>
      <c r="D7" s="119"/>
      <c r="E7" s="119"/>
      <c r="F7" s="119"/>
      <c r="G7" s="119"/>
      <c r="H7" s="119"/>
      <c r="I7" s="119"/>
      <c r="J7" s="128"/>
    </row>
    <row r="8" spans="1:10" ht="29.5" customHeight="1">
      <c r="A8" s="127"/>
      <c r="B8" s="119"/>
      <c r="C8" s="470" t="s">
        <v>225</v>
      </c>
      <c r="D8" s="470"/>
      <c r="E8" s="470"/>
      <c r="F8" s="470"/>
      <c r="G8" s="471" t="str">
        <f>'Master Data'!D10</f>
        <v>PARMANAND MEGHWAL</v>
      </c>
      <c r="H8" s="471"/>
      <c r="I8" s="471"/>
      <c r="J8" s="136" t="str">
        <f>'Master Data'!P10</f>
        <v>SENIOR TEACHER</v>
      </c>
    </row>
    <row r="9" spans="1:10" ht="29.5" customHeight="1" thickBot="1">
      <c r="A9" s="127"/>
      <c r="B9" s="119" t="s">
        <v>226</v>
      </c>
      <c r="C9" s="472" t="str">
        <f>'Master Data'!C8:AF8</f>
        <v>GOVT SR. SEC SCHOOL DILOD HATHI, ATRU BARAN</v>
      </c>
      <c r="D9" s="472"/>
      <c r="E9" s="472"/>
      <c r="F9" s="472"/>
      <c r="G9" s="472"/>
      <c r="H9" s="472"/>
      <c r="I9" s="472"/>
      <c r="J9" s="473"/>
    </row>
    <row r="10" spans="1:10" ht="29.5" customHeight="1" thickBot="1">
      <c r="A10" s="127"/>
      <c r="B10" s="193" t="s">
        <v>222</v>
      </c>
      <c r="C10" s="124" t="s">
        <v>227</v>
      </c>
      <c r="D10" s="138">
        <f>'Other Deduction'!F17</f>
        <v>122689</v>
      </c>
      <c r="E10" s="119"/>
      <c r="F10" s="456" t="s">
        <v>240</v>
      </c>
      <c r="G10" s="457"/>
      <c r="H10" s="457"/>
      <c r="I10" s="457"/>
      <c r="J10" s="195" t="s">
        <v>228</v>
      </c>
    </row>
    <row r="11" spans="1:10" ht="29.5" customHeight="1">
      <c r="A11" s="127"/>
      <c r="B11" s="476" t="s">
        <v>229</v>
      </c>
      <c r="C11" s="476"/>
      <c r="D11" s="476"/>
      <c r="E11" s="132">
        <f>D10/12</f>
        <v>10224.083333333334</v>
      </c>
      <c r="F11" s="456" t="s">
        <v>240</v>
      </c>
      <c r="G11" s="457"/>
      <c r="H11" s="457"/>
      <c r="I11" s="457"/>
      <c r="J11" s="195" t="s">
        <v>228</v>
      </c>
    </row>
    <row r="12" spans="1:10" ht="29.5" customHeight="1">
      <c r="A12" s="127"/>
      <c r="B12" s="472" t="s">
        <v>231</v>
      </c>
      <c r="C12" s="472"/>
      <c r="D12" s="472" t="s">
        <v>230</v>
      </c>
      <c r="E12" s="472"/>
      <c r="F12" s="472"/>
      <c r="G12" s="193"/>
      <c r="H12" s="193"/>
      <c r="I12" s="193"/>
      <c r="J12" s="128"/>
    </row>
    <row r="13" spans="1:10" ht="29.5" customHeight="1">
      <c r="A13" s="127"/>
      <c r="B13" s="119"/>
      <c r="C13" s="119"/>
      <c r="D13" s="119"/>
      <c r="E13" s="119"/>
      <c r="F13" s="119"/>
      <c r="G13" s="119"/>
      <c r="H13" s="119"/>
      <c r="I13" s="119"/>
      <c r="J13" s="128"/>
    </row>
    <row r="14" spans="1:10" ht="29.5" customHeight="1">
      <c r="A14" s="129"/>
      <c r="B14" s="119" t="s">
        <v>232</v>
      </c>
      <c r="C14" s="462">
        <f>D10</f>
        <v>122689</v>
      </c>
      <c r="D14" s="462"/>
      <c r="E14" s="119"/>
      <c r="F14" s="119"/>
      <c r="G14" s="119"/>
      <c r="H14" s="119"/>
      <c r="I14" s="119"/>
      <c r="J14" s="128"/>
    </row>
    <row r="15" spans="1:10" ht="29.5" customHeight="1">
      <c r="A15" s="125"/>
      <c r="B15" s="118"/>
      <c r="C15" s="118"/>
      <c r="D15" s="118"/>
      <c r="E15" s="118"/>
      <c r="F15" s="118"/>
      <c r="G15" s="118"/>
      <c r="H15" s="118"/>
      <c r="I15" s="118"/>
      <c r="J15" s="126"/>
    </row>
    <row r="16" spans="1:10" ht="29.5" customHeight="1">
      <c r="A16" s="125"/>
      <c r="B16" s="120" t="s">
        <v>233</v>
      </c>
      <c r="C16" s="463" t="str">
        <f>J5</f>
        <v>11.12.2020</v>
      </c>
      <c r="D16" s="463"/>
      <c r="E16" s="121"/>
      <c r="F16" s="118"/>
      <c r="G16" s="118"/>
      <c r="H16" s="118"/>
      <c r="I16" s="122"/>
      <c r="J16" s="126"/>
    </row>
    <row r="17" spans="1:10" ht="29.5" customHeight="1">
      <c r="A17" s="125"/>
      <c r="B17" s="118"/>
      <c r="C17" s="118"/>
      <c r="D17" s="123"/>
      <c r="E17" s="123"/>
      <c r="F17" s="123"/>
      <c r="G17" s="118"/>
      <c r="H17" s="118"/>
      <c r="I17" s="118"/>
      <c r="J17" s="126"/>
    </row>
    <row r="18" spans="1:10" ht="29.5" customHeight="1">
      <c r="A18" s="125"/>
      <c r="B18" s="118"/>
      <c r="C18" s="118"/>
      <c r="D18" s="118"/>
      <c r="E18" s="118"/>
      <c r="F18" s="118"/>
      <c r="G18" s="118"/>
      <c r="H18" s="476" t="s">
        <v>223</v>
      </c>
      <c r="I18" s="476"/>
      <c r="J18" s="477"/>
    </row>
    <row r="19" spans="1:10" ht="34" customHeight="1">
      <c r="A19" s="125"/>
      <c r="B19" s="118"/>
      <c r="C19" s="118"/>
      <c r="D19" s="118"/>
      <c r="E19" s="118"/>
      <c r="F19" s="118"/>
      <c r="G19" s="118"/>
      <c r="H19" s="474" t="s">
        <v>235</v>
      </c>
      <c r="I19" s="474"/>
      <c r="J19" s="475"/>
    </row>
    <row r="20" spans="1:10" ht="34" customHeight="1">
      <c r="A20" s="125"/>
      <c r="B20" s="118"/>
      <c r="C20" s="118"/>
      <c r="D20" s="118"/>
      <c r="E20" s="118"/>
      <c r="F20" s="118"/>
      <c r="G20" s="118"/>
      <c r="H20" s="474"/>
      <c r="I20" s="474"/>
      <c r="J20" s="475"/>
    </row>
    <row r="21" spans="1:10" ht="17.5" customHeight="1">
      <c r="A21" s="125"/>
      <c r="B21" s="118"/>
      <c r="C21" s="118"/>
      <c r="D21" s="118"/>
      <c r="E21" s="118"/>
      <c r="F21" s="118"/>
      <c r="G21" s="118"/>
      <c r="H21" s="458"/>
      <c r="I21" s="458"/>
      <c r="J21" s="459"/>
    </row>
    <row r="22" spans="1:10" ht="18.5" customHeight="1">
      <c r="A22" s="125"/>
      <c r="B22" s="118"/>
      <c r="C22" s="118"/>
      <c r="D22" s="118"/>
      <c r="E22" s="118"/>
      <c r="F22" s="118"/>
      <c r="G22" s="118"/>
      <c r="H22" s="458"/>
      <c r="I22" s="458"/>
      <c r="J22" s="459"/>
    </row>
    <row r="23" spans="1:10" ht="19.5" customHeight="1">
      <c r="A23" s="125"/>
      <c r="B23" s="118"/>
      <c r="C23" s="118"/>
      <c r="D23" s="118"/>
      <c r="E23" s="118"/>
      <c r="F23" s="118"/>
      <c r="G23" s="118"/>
      <c r="H23" s="458"/>
      <c r="I23" s="458"/>
      <c r="J23" s="459"/>
    </row>
    <row r="24" spans="1:10" ht="18" customHeight="1" thickBot="1">
      <c r="A24" s="130"/>
      <c r="B24" s="131"/>
      <c r="C24" s="131"/>
      <c r="D24" s="131"/>
      <c r="E24" s="131"/>
      <c r="F24" s="131"/>
      <c r="G24" s="131"/>
      <c r="H24" s="460"/>
      <c r="I24" s="460"/>
      <c r="J24" s="461"/>
    </row>
  </sheetData>
  <sheetProtection password="FC12" sheet="1" objects="1" scenarios="1"/>
  <mergeCells count="17">
    <mergeCell ref="B11:D11"/>
    <mergeCell ref="F11:I11"/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Tax Calculation (New)</vt:lpstr>
      <vt:lpstr>HRA Receipt</vt:lpstr>
      <vt:lpstr>All_India_Service</vt:lpstr>
      <vt:lpstr>L_1</vt:lpstr>
      <vt:lpstr>'HRA Receipt'!Print_Area</vt:lpstr>
      <vt:lpstr>'Master Data'!Print_Area</vt:lpstr>
      <vt:lpstr>'Tax Calculation (New)'!Print_Area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2020-12-15T17:18:22Z</cp:lastPrinted>
  <dcterms:created xsi:type="dcterms:W3CDTF">2013-12-06T08:14:36Z</dcterms:created>
  <dcterms:modified xsi:type="dcterms:W3CDTF">2020-12-19T06:41:44Z</dcterms:modified>
</cp:coreProperties>
</file>